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1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Hoja1" sheetId="7" r:id="rId7"/>
  </sheets>
  <definedNames>
    <definedName name="Excel_BuiltIn_Print_Titles_5">'Anexo V'!$3:$3</definedName>
    <definedName name="Excel_BuiltIn_Print_Titles_5_1">'Anexo V'!$1:$1</definedName>
  </definedNames>
  <calcPr fullCalcOnLoad="1"/>
</workbook>
</file>

<file path=xl/sharedStrings.xml><?xml version="1.0" encoding="utf-8"?>
<sst xmlns="http://schemas.openxmlformats.org/spreadsheetml/2006/main" count="552" uniqueCount="394">
  <si>
    <t>Informe Nº      /08.</t>
  </si>
  <si>
    <t>,</t>
  </si>
  <si>
    <t>Letra: Tes. Gral.</t>
  </si>
  <si>
    <t>Ushuaia, 31 de marzo del año 2008</t>
  </si>
  <si>
    <t xml:space="preserve">Destinatario: Señora Gobernadora </t>
  </si>
  <si>
    <t>Por medio del presente remito a Ud. el siguiente detalle:</t>
  </si>
  <si>
    <t>Anexo I – Movimientos del Tesoro</t>
  </si>
  <si>
    <t>Anexo II – Detalle de las Cuentas Escriturales, Pagadoras, Entes y Fondos</t>
  </si>
  <si>
    <t>Anexo IV – Detalle de Pagos Diarios Desagregados</t>
  </si>
  <si>
    <t>Anexo V – Egresos Diarios Publicados</t>
  </si>
  <si>
    <t>Anexo VI – Flujo de Ingresos y Egresos</t>
  </si>
  <si>
    <t>CONCEPTO</t>
  </si>
  <si>
    <t xml:space="preserve">Tesorería General </t>
  </si>
  <si>
    <t>Tesorerías</t>
  </si>
  <si>
    <t>Organismos</t>
  </si>
  <si>
    <t>TOTAL</t>
  </si>
  <si>
    <t>I     Saldo CUT  al 28/03/08</t>
  </si>
  <si>
    <t xml:space="preserve">II    Ingresos del 31/03/08        </t>
  </si>
  <si>
    <r>
      <t>Tributarios de Origen Nac.</t>
    </r>
    <r>
      <rPr>
        <vertAlign val="superscript"/>
        <sz val="8"/>
        <rFont val="Arial"/>
        <family val="2"/>
      </rPr>
      <t>(1)</t>
    </r>
  </si>
  <si>
    <r>
      <t xml:space="preserve">Tributarios de Origen Pcial. </t>
    </r>
    <r>
      <rPr>
        <vertAlign val="superscript"/>
        <sz val="10"/>
        <rFont val="Arial"/>
        <family val="2"/>
      </rPr>
      <t>(2)</t>
    </r>
  </si>
  <si>
    <t>Regalías</t>
  </si>
  <si>
    <t>Fondos Especiales</t>
  </si>
  <si>
    <t>Otros Créditos</t>
  </si>
  <si>
    <t>Devolución de Libramientos</t>
  </si>
  <si>
    <t xml:space="preserve">III   Egresos  del 31/03/08                            </t>
  </si>
  <si>
    <t>Remuneraciones</t>
  </si>
  <si>
    <t>Aportes y Contribuciones</t>
  </si>
  <si>
    <t>Municipalidad de Ushuaia</t>
  </si>
  <si>
    <t>Municipalidad de Río Grande</t>
  </si>
  <si>
    <t>Comuna de Tolhuin</t>
  </si>
  <si>
    <t>IPAUSS retenido a municipios y comuna</t>
  </si>
  <si>
    <t>Transferencias a Poderes y Entes</t>
  </si>
  <si>
    <t>IPAUSS (Fondos Nacionales)</t>
  </si>
  <si>
    <t>Letras</t>
  </si>
  <si>
    <t>Transferencias Fondos con Afectación Especial</t>
  </si>
  <si>
    <t>Fondos Permanentes/Ant. con Cargo a Rendir</t>
  </si>
  <si>
    <t>Subsidios</t>
  </si>
  <si>
    <t>Otros</t>
  </si>
  <si>
    <t>Débitos Bancarios</t>
  </si>
  <si>
    <t>IV  Saldos Finales al 31/03/08</t>
  </si>
  <si>
    <t>Fondos disponibles provinciales</t>
  </si>
  <si>
    <t>Disponibles</t>
  </si>
  <si>
    <t>Afectación Específica 2007</t>
  </si>
  <si>
    <t>Afectación Específica 2008</t>
  </si>
  <si>
    <t>Fondos Hidrocarburos pasibles de pasar a libre disponibilidad</t>
  </si>
  <si>
    <t xml:space="preserve">Previsión Letras vencidas impagas </t>
  </si>
  <si>
    <t>Sumas (I+II-III)</t>
  </si>
  <si>
    <t>V   Saldo CUT al 31/03/08</t>
  </si>
  <si>
    <t>(1) Incluye  Afectación Especifica enviada por Nación</t>
  </si>
  <si>
    <t>(2) Incluye Fondo Caleta y Fondo social</t>
  </si>
  <si>
    <t>Saldo CUT 28/03/08</t>
  </si>
  <si>
    <t>Saldo de cuentas de entes, pagadoras, de fondos permanentes y otras</t>
  </si>
  <si>
    <t xml:space="preserve">Saldo del Fondo Unificado </t>
  </si>
  <si>
    <t>Descubierto Art. 3º Decreto 663/07, sin autorización legislativa</t>
  </si>
  <si>
    <t>Saldo Disponible FUCO- Dto.Nº1524/07 (observado por el BCRA)</t>
  </si>
  <si>
    <t>Denominación</t>
  </si>
  <si>
    <t>Diferencia</t>
  </si>
  <si>
    <t>12710066/3 Ley Finan.Ed.</t>
  </si>
  <si>
    <t>1710066/9 Policía Adic.</t>
  </si>
  <si>
    <t>1710275/7 Reg. Civil</t>
  </si>
  <si>
    <t>1710280/1 Ley 55</t>
  </si>
  <si>
    <t>1710288/7 Trabajo</t>
  </si>
  <si>
    <t>1710316/3 H.R.U</t>
  </si>
  <si>
    <t>1710317/0 Rec. Naturales</t>
  </si>
  <si>
    <t>1710337/8 Policía Tasas</t>
  </si>
  <si>
    <t>1710341/5 Canal 11</t>
  </si>
  <si>
    <t>1710352/1 Aeronáutica</t>
  </si>
  <si>
    <t>1710353/8 IGJ</t>
  </si>
  <si>
    <t>1710372/9 Tierras Fisc.</t>
  </si>
  <si>
    <t>1710379/8 Conv. Policía</t>
  </si>
  <si>
    <t>1710391/0 Des. Municip.</t>
  </si>
  <si>
    <t>1710433/3 Defensa Civil</t>
  </si>
  <si>
    <t>1710436/4 Mejor. Barrios</t>
  </si>
  <si>
    <t>1710455/5 BECAS</t>
  </si>
  <si>
    <t>1710497/5 Fot. Sist. Pcial.</t>
  </si>
  <si>
    <t>1710525/1 Recup. Crece</t>
  </si>
  <si>
    <t>1710535/0 GEF Costero</t>
  </si>
  <si>
    <t>1710541/1 Transporte</t>
  </si>
  <si>
    <t>1710548/0 EPIC FORCE</t>
  </si>
  <si>
    <t>1710559/6 Sec. Seg. Ïnt.</t>
  </si>
  <si>
    <t>1710564/0 Presos y Liber.</t>
  </si>
  <si>
    <t>1710568/8 Prog. Promot</t>
  </si>
  <si>
    <t>1710576/3 A.I.U.M.A.</t>
  </si>
  <si>
    <t>1710589/3 GEF Costero</t>
  </si>
  <si>
    <t>1710590/9 GEF Costero</t>
  </si>
  <si>
    <t>1710651/3 Func. E. Salud</t>
  </si>
  <si>
    <t>1710653/7 Mej. Barrios II</t>
  </si>
  <si>
    <t>3710024/5 Polic. Adic.</t>
  </si>
  <si>
    <t>3710045/0 H.R.R.G.</t>
  </si>
  <si>
    <t>3710093/1 Inst. Policía</t>
  </si>
  <si>
    <t>3710105/7 Tasas y Conv.</t>
  </si>
  <si>
    <t>3710112/5 Reg. Civil</t>
  </si>
  <si>
    <t>3710113/2 Canal 13</t>
  </si>
  <si>
    <t>3710121/7 BECAS</t>
  </si>
  <si>
    <t>3710138/5 Mundo Trab.</t>
  </si>
  <si>
    <t>3710165/1 Hidatídosis y Z.</t>
  </si>
  <si>
    <t>Hidrocarburos 1071063/8</t>
  </si>
  <si>
    <t>Caleta</t>
  </si>
  <si>
    <t>Social</t>
  </si>
  <si>
    <t>Solvencia</t>
  </si>
  <si>
    <t>1710504/6 P</t>
  </si>
  <si>
    <t>Bomberos</t>
  </si>
  <si>
    <t>Pagadoras</t>
  </si>
  <si>
    <t>Escuelas</t>
  </si>
  <si>
    <t>Vialidad</t>
  </si>
  <si>
    <t>Total fondos con Afectación Especifica</t>
  </si>
  <si>
    <t>Nº y Denominación</t>
  </si>
  <si>
    <t>Saldo al 31/03/08</t>
  </si>
  <si>
    <t>1710022/5 I,P,V,-INGRESOS A DETERMINAR</t>
  </si>
  <si>
    <t>1710023/2 GOB, TDF-DIR,TERR,SERV,SANIT,</t>
  </si>
  <si>
    <t>1710037/9 DIREC,PROVINCIAL DE ENERGIA</t>
  </si>
  <si>
    <t>1710056/0 DIR,PROV,DE ENERGIA-USINA TOLH</t>
  </si>
  <si>
    <t>1710097/3 I,P,V, PLAN ARRAIGO JUVENIL</t>
  </si>
  <si>
    <t>1710116/7 IPV LIBRE DISPONIBILIDAD</t>
  </si>
  <si>
    <t>1710121/1 I,P,V, - OTROS FONDOS DE 3ROS,</t>
  </si>
  <si>
    <t>1710124/2 I,P,V, - ART,19 LEY 21,581</t>
  </si>
  <si>
    <t>1710125/9 I,P,V, - FONDO DE REPARO - BID</t>
  </si>
  <si>
    <t>1710127/3 I,P,V, - TRANSF, DE GOBERNACIO</t>
  </si>
  <si>
    <t>1710130/3 HONORABLE LEGISLATURA O,GASTOS</t>
  </si>
  <si>
    <t>1710135/8 SEC,ADM,H,LEGISLAT,ANT,SUELDOS</t>
  </si>
  <si>
    <t>1710154/9 FDO,PERM,ART,57-LEY 6/71</t>
  </si>
  <si>
    <t>1710157/0 I,P,V, - RECUPEROS FO,NA,VI</t>
  </si>
  <si>
    <t>1710164/8 FDO,PERM,DIR,PROV,DE ENERGIA</t>
  </si>
  <si>
    <t>1710188/4 INFUETUR</t>
  </si>
  <si>
    <t>1710204/7 FDO,PERM,CONTRAT,INTEVU USHUAI</t>
  </si>
  <si>
    <t>1710250/4 CONSEJO DE LA MAGISTRATURA</t>
  </si>
  <si>
    <t>1710252/8 FDO,PTE,ART,78-FISCALIA DE EST</t>
  </si>
  <si>
    <t>1710265/8 DIRECCION PROVINCIAL DE PUERTO</t>
  </si>
  <si>
    <t>1710274/0 HOSPITAL REGIONAL USHUAIA</t>
  </si>
  <si>
    <t>1710283/2 FDO,PERM,ART,57-DEC,292/72</t>
  </si>
  <si>
    <t>1710301/9 DIR,PROV,DE ENERGIA-F,E,D,E,I,</t>
  </si>
  <si>
    <t>1710307/1 GASTOS FUNC,UNIDAD OPER,PROV,</t>
  </si>
  <si>
    <t>1710325/5 FDO,PERM,ART,57-TES,GRAL,MUNIC</t>
  </si>
  <si>
    <t>1710327/9 REGISTRO PUBLICO DE COM,D,P,J,</t>
  </si>
  <si>
    <t>1710331/6 I,P,V,-RECURSOS PROVINCIALES</t>
  </si>
  <si>
    <t>1710332/3 I,P,V,-RECURSOS NACIONALES</t>
  </si>
  <si>
    <t>1710347/7 I,P,V,-RECURSOS NACIONALES</t>
  </si>
  <si>
    <t>1710354/5 I,P,V,</t>
  </si>
  <si>
    <t>1710362/0 I,P,V,-COBRO ORIGEN NACIONAL</t>
  </si>
  <si>
    <t>1710407/4 FDO,PERM,ART,57-SUBSEC,DEL INS</t>
  </si>
  <si>
    <t>1710435/7 CUENTA PROVINCIAL DEL TESORO</t>
  </si>
  <si>
    <t>1710457/9 FONDO PERMANENTE INFUETUR</t>
  </si>
  <si>
    <t>1710463/0 FDO, PTE, DPTO, GENERACION DPE</t>
  </si>
  <si>
    <t>1710492/0 FDO,PTE,GTOS,GLES,ART,57 S,SEG</t>
  </si>
  <si>
    <t>1710499/9 FONDO PERMANENTE M,O,Y,S,P,</t>
  </si>
  <si>
    <t>1710500/8 FDO,PTE,PAS, Y VIATICOS ART,57</t>
  </si>
  <si>
    <t>1710501/5 FDO,PTE,CONTRAT,Y ABAST,ART,57</t>
  </si>
  <si>
    <t>1710502/2 FDO,PTE,CONTRAT,Y ABAST,ART,57</t>
  </si>
  <si>
    <t>1710503/9 DERIV,MEDICAS C, SOCIAL H,R,U,</t>
  </si>
  <si>
    <t>1710507/7 FDO,PTE,GASTOS G,MIN, EDUC CUL</t>
  </si>
  <si>
    <t>1710508/4 FDO,P,MIN,SALUD COM,Y SERV,EVE</t>
  </si>
  <si>
    <t>1710511/4 FDO,PTE,GTOS,GLES,ART,57 DIREC</t>
  </si>
  <si>
    <t>1710515/2 FDO,PTE,ART,57 SEC,LEGAL Y TEC</t>
  </si>
  <si>
    <t>1710516/9 FDO,PTE,GASTOS DE COMBUSTIBLE</t>
  </si>
  <si>
    <t>1710520/6 FDO,PTE, DIR, PROM, IN,FUE,TUR</t>
  </si>
  <si>
    <t>1710523/7 FDO,PTE,GAST,GEN,CEREM, Y PROT</t>
  </si>
  <si>
    <t>1710524/4 DERIV,MEDICAS C,SOCIAL PASAJES</t>
  </si>
  <si>
    <t>1710534/3 FDO,PTE,EMERGENCIA 2008</t>
  </si>
  <si>
    <t>1710537/4 F,PTE,SUBSEC,INFRAEST, ESCOLAR</t>
  </si>
  <si>
    <t>1710553/4 MO Y SP F,PTE,G,C, Y PREST,S,</t>
  </si>
  <si>
    <t>1710558/9 MINIST,EDUC,POLO UNIVERSITARIO</t>
  </si>
  <si>
    <t>1710562/6 FDO PTE GTOS GLES MINIS DESAR</t>
  </si>
  <si>
    <t>1710566/4 F, PTE AUTOM, ART JEF POLICIA</t>
  </si>
  <si>
    <t>1710600/1 I,G,J, CUENTA PAGOS</t>
  </si>
  <si>
    <t>1710601/8 S,P,E,Y F, FONDO PROV MEDIO AM</t>
  </si>
  <si>
    <t>1710602/5 S,P,E, Y F FDO PARA DESC REC</t>
  </si>
  <si>
    <t xml:space="preserve">1710603/2 S,D,S PO, SO, CO, </t>
  </si>
  <si>
    <t>1710604/9 S,D,S, PRO, SO, un</t>
  </si>
  <si>
    <t>1710605/6 COPARTIC, D,N,R,P, CTA, PAGOS</t>
  </si>
  <si>
    <t>1710606/3 LEY DE FINANCIAMIENTO EDUCATIV</t>
  </si>
  <si>
    <t>1710607/0 GTOS,POR DIV,INSTIT,POLICIALES</t>
  </si>
  <si>
    <t>1710608/7 GTOS, DE CONVENIOS POL, PCIAL,</t>
  </si>
  <si>
    <t>1710609/4 SERVICIO DE POLICIA ADICIONAL</t>
  </si>
  <si>
    <t>1710610/0 GASTOS POR TASAS POL, PCIAL,</t>
  </si>
  <si>
    <t>1710611/7 MIN,GOB,TRAB,Y JUSTIC,MULTAS</t>
  </si>
  <si>
    <t>1710612/4 HIGIENE Y SEGURIDAD SUBS,TRAB,</t>
  </si>
  <si>
    <t>1710613/1 PROGRAMA FEDERAL DE SALUD</t>
  </si>
  <si>
    <t>1710614/8 PROGRAMA MATERNO INFANTIL</t>
  </si>
  <si>
    <t>1710615/5 FDO,P/EL DESARR,TELERADIOD,C11</t>
  </si>
  <si>
    <t>1710616/2 CREDITOS OTORGADO PROG CRECE</t>
  </si>
  <si>
    <t>1710617/9 PROG PRMOT, Y PROMOT DE LA COM</t>
  </si>
  <si>
    <t>1710618/6 DESARR,INST,PROG,MEJ, DE BARRI</t>
  </si>
  <si>
    <t>1710620/9 PAGOS DIRECC PCIAL DE TRANSP</t>
  </si>
  <si>
    <t>1710621/6 PAGADORA HOSPITAL REGIONAL USH</t>
  </si>
  <si>
    <t>1710622/3 PROG,CRECE GASTOS FUNC,LEY 695</t>
  </si>
  <si>
    <t>1710623/0 EPIC FORCE UNION EUROPEA</t>
  </si>
  <si>
    <t>1710624/7 PLAN DE VIGILANCIA DIV,PATOLOG</t>
  </si>
  <si>
    <t>1710629/2 PROYECTO GEF,CUENCA RIO GRANDE</t>
  </si>
  <si>
    <t>1710630/8 F,PTE,G,G,ART,57 D,P,DEF,CIVIL</t>
  </si>
  <si>
    <t>1710661/2 PLAN NACER PAGODORA HRU</t>
  </si>
  <si>
    <t>1710329/3 FDO,UNIFICADO CTAS,DE LA PCIA,</t>
  </si>
  <si>
    <t>1071002/7 CASA TIERRA DEL FUEGO</t>
  </si>
  <si>
    <t>1071004/1 FDO,PMTE,  COMPRAS CASA T,F,</t>
  </si>
  <si>
    <t>1071010/2 DIR,TERR, DE ENERGIA O/C</t>
  </si>
  <si>
    <t>1071029/4 IN,FUE,TUR,</t>
  </si>
  <si>
    <t>1071033/1 DIR,PCIAL,PUERTOS DE PCIA, TDF</t>
  </si>
  <si>
    <t>1071035/5 SEC,DE DESARR, Y PLANEAMIENTO</t>
  </si>
  <si>
    <t>1071041/6  GSTS,GRALES,DIST,RENTAS BSAS</t>
  </si>
  <si>
    <t>1071038/6 FONDO UNIFICADO CTAS, PCIAS,</t>
  </si>
  <si>
    <t>3710035/1 I,P,V, GASTOS VARIOS O/CONJ</t>
  </si>
  <si>
    <t>3710044/3 I,P,V,-FONDO PERMANENTE</t>
  </si>
  <si>
    <t>3710054/2 I,P,V,-DELEGACION</t>
  </si>
  <si>
    <t>3710070/2 POLICIA PROV-VERIFICACION AUTO</t>
  </si>
  <si>
    <t>3710084/9 HOSPITAL REGIONAL RIO GRANDE</t>
  </si>
  <si>
    <t>3710088/7 DIR,PROV,DE VIALIDAD (VARIOS)</t>
  </si>
  <si>
    <t>3710089/4 DIR,PROV,DE VIALIDAD (HABERES)</t>
  </si>
  <si>
    <t>3710090/0 DIR,PROV,DE VIALIDAD (GARANTIA</t>
  </si>
  <si>
    <t>3710091/7 DIR,PROV,DE VIALIDAD (FDO PER)</t>
  </si>
  <si>
    <t>3710099/3 PODER JUDICIAL-DISTRITO NORTE</t>
  </si>
  <si>
    <t>3710104/0 INST,FUEG,DE TURISMO FDO PROM,</t>
  </si>
  <si>
    <t>3710108/8 HIDROCARBUROS FUEGUINOS S,A,</t>
  </si>
  <si>
    <t>3710117/0 DIR,PROV,DE VIALIDAD (AC/IPV)</t>
  </si>
  <si>
    <t>3710123/1 FONDO PERMANENTE IPAUSS DEL,RG</t>
  </si>
  <si>
    <t>3710127/9 DIR,PROV,DE VIALIDAD-FDO,TERCE</t>
  </si>
  <si>
    <t>3710134/7 DERIV,MEDIC,DE CARACT,SOC,HRRG</t>
  </si>
  <si>
    <t>3710135/4 FONDO PERM,HOSP, REG, R, GDE</t>
  </si>
  <si>
    <t>3710159/0 FDO,P/DES,TELERAD,PROV,CNAL 13</t>
  </si>
  <si>
    <t>3710160/6 GASTOS DE FUNCIONAMIENTO HRRG,</t>
  </si>
  <si>
    <t>3710161/3 CONSEJO PROV,BECAS/FDOS P/GAST</t>
  </si>
  <si>
    <t>3710103/3 FONDO UNIFICADO CTAS PCIA TDF</t>
  </si>
  <si>
    <t>Total fondos de entes, cuentas pagadoras, fondos permanentes y otros</t>
  </si>
  <si>
    <t>Fondos Disponibles</t>
  </si>
  <si>
    <t>Saldo Disponible FUCO</t>
  </si>
  <si>
    <t>Anexo III – Detalle de Ingresos Desagregados</t>
  </si>
  <si>
    <t>Cta. Recauda- dora Nº</t>
  </si>
  <si>
    <t>Recaudación del 31/03/08</t>
  </si>
  <si>
    <t>1071001/0</t>
  </si>
  <si>
    <t>DIRECCION GENERAL DE RENTAS T</t>
  </si>
  <si>
    <t>3710011/5</t>
  </si>
  <si>
    <t>DIRECCION GENERAL DE RENTAS-ING.VARIOS</t>
  </si>
  <si>
    <t>1710013/3</t>
  </si>
  <si>
    <t>DIRECCION GENERAL DE  RENTAS/AUX</t>
  </si>
  <si>
    <t>Tributarios de Origen Pcial.</t>
  </si>
  <si>
    <t>1071003/4</t>
  </si>
  <si>
    <t>COPARTICIPACION NACIONAL</t>
  </si>
  <si>
    <t>Tributarios de Origen Nac.</t>
  </si>
  <si>
    <t>1071057/7</t>
  </si>
  <si>
    <t>REGALIAS HIDROCARBURIFERAS</t>
  </si>
  <si>
    <t>Regalías Hidrocarburíferas</t>
  </si>
  <si>
    <t>1071063/8</t>
  </si>
  <si>
    <t xml:space="preserve"> LEY NAC NRO 26197 CANONES DE EXPLORACION</t>
  </si>
  <si>
    <t>12710066/3</t>
  </si>
  <si>
    <t>LEY DE FINANCIAMIENTO EDUCATIVO</t>
  </si>
  <si>
    <t>1710066/9</t>
  </si>
  <si>
    <t xml:space="preserve">SERVICIO DE POLICIA ADICIONAL </t>
  </si>
  <si>
    <t>1710259/7</t>
  </si>
  <si>
    <t>PSPYDEPA CTA.GRAL.TIERRA DEL</t>
  </si>
  <si>
    <t>1710275/7</t>
  </si>
  <si>
    <t>COPARTICIPACION D.R.N.P. USHUAIA</t>
  </si>
  <si>
    <t>1710280/1</t>
  </si>
  <si>
    <t>FONDO PROVINCIAL MEDIO AMBIENTE</t>
  </si>
  <si>
    <t>1710288/7</t>
  </si>
  <si>
    <t>MULTAS SECRETARIA DE TRABAJO</t>
  </si>
  <si>
    <t>1710307/1</t>
  </si>
  <si>
    <t>TRANSFERENCIAS C.F.I.</t>
  </si>
  <si>
    <t>1710316/3</t>
  </si>
  <si>
    <t>HOSPITAL REGIONAL USHUAIA</t>
  </si>
  <si>
    <t>1710317/0</t>
  </si>
  <si>
    <t>REC.NATURALES lEY 211</t>
  </si>
  <si>
    <t>1710337/8</t>
  </si>
  <si>
    <t>TASAS POLICIA</t>
  </si>
  <si>
    <t>1710341/5</t>
  </si>
  <si>
    <t>CANAL 11</t>
  </si>
  <si>
    <t>1710352/1</t>
  </si>
  <si>
    <t>FONDO RECUPERO DIRECC.AERONAUTICA</t>
  </si>
  <si>
    <t>1710353/8</t>
  </si>
  <si>
    <t>TASAS Y MULTAS-IGJ</t>
  </si>
  <si>
    <t>1710355/2</t>
  </si>
  <si>
    <t>SUBPRESTDF-PRES3877-AR/CTAPRO</t>
  </si>
  <si>
    <t>1710372/9</t>
  </si>
  <si>
    <t xml:space="preserve">TIERRAS FISCALES </t>
  </si>
  <si>
    <t>1710379/8</t>
  </si>
  <si>
    <t>CONVENIOS POLICIA</t>
  </si>
  <si>
    <t>1710391/0</t>
  </si>
  <si>
    <t>CUENTA FDO DESARROLLO MUNICIP</t>
  </si>
  <si>
    <t>1710393/4</t>
  </si>
  <si>
    <t>A.SO.MA.</t>
  </si>
  <si>
    <t>1710433/3</t>
  </si>
  <si>
    <t>DEFENSA CIVIL PROVINCIAL</t>
  </si>
  <si>
    <t>1710436/4</t>
  </si>
  <si>
    <t>CTA INV PROG MEJ BARRIOS P TD</t>
  </si>
  <si>
    <t>1710437/1</t>
  </si>
  <si>
    <t>APORTE COMP P/PROG MEJ BARRIO</t>
  </si>
  <si>
    <t>1710455/5</t>
  </si>
  <si>
    <t>CONSEJO PROV. DE BECAS</t>
  </si>
  <si>
    <t>1710478/4</t>
  </si>
  <si>
    <t>MADRES SOLAS CON HIJOS A CARGO</t>
  </si>
  <si>
    <t>1710525/1</t>
  </si>
  <si>
    <t>RECUPERO CREDITOS LINEAS CRECE</t>
  </si>
  <si>
    <t>1710541/1</t>
  </si>
  <si>
    <t xml:space="preserve">CONVENIO Y TASAS D.P.TRANSPORTE </t>
  </si>
  <si>
    <t>1710547/3</t>
  </si>
  <si>
    <t>FDO DE INNOVACION TECNOLOGICA</t>
  </si>
  <si>
    <t>1710548/0</t>
  </si>
  <si>
    <t>EPIC.FORCE UNION EUROPEA</t>
  </si>
  <si>
    <t>1710559/6</t>
  </si>
  <si>
    <t>RECAUDADORA CONS PROV COMPLEM</t>
  </si>
  <si>
    <t>1710564/0</t>
  </si>
  <si>
    <t>PATRONATO PRESOS Y LIBERADOS</t>
  </si>
  <si>
    <t>1710568/8</t>
  </si>
  <si>
    <t>PROG. PROMOT. DE LA COMUN EUP</t>
  </si>
  <si>
    <t>1710576/3</t>
  </si>
  <si>
    <t xml:space="preserve">A.I.U.M.A </t>
  </si>
  <si>
    <t>1710545/9</t>
  </si>
  <si>
    <t>PO. SO. CO.</t>
  </si>
  <si>
    <t>1710546/6</t>
  </si>
  <si>
    <t xml:space="preserve">PRO. SO. NU. </t>
  </si>
  <si>
    <t>1710589/3</t>
  </si>
  <si>
    <t>PROY GET-ESTUDIO GLACIOLOGICO</t>
  </si>
  <si>
    <t>1710590/9</t>
  </si>
  <si>
    <t>PROY GET CUENCA RIO GRANDE</t>
  </si>
  <si>
    <t>1710637/7</t>
  </si>
  <si>
    <t>SUBS. DE CULTURA CTA-INCAA</t>
  </si>
  <si>
    <t>1710651/3</t>
  </si>
  <si>
    <t xml:space="preserve">PROY. FUNC. ESENC. DE SALUD PÚBL-(FESP)-MS </t>
  </si>
  <si>
    <t>1710653/7</t>
  </si>
  <si>
    <t>CTA INVERS. PROGR. MEJORAM. DE BARRIOS II</t>
  </si>
  <si>
    <t>1710654/4</t>
  </si>
  <si>
    <t>CTA AP. COMPL- PROG. MEJORAM DE BARRIOS II</t>
  </si>
  <si>
    <t>3710024/5</t>
  </si>
  <si>
    <t>3710045/0</t>
  </si>
  <si>
    <t>HOSPITAL REGIONAL RIO GRANDE</t>
  </si>
  <si>
    <t>3710093/1</t>
  </si>
  <si>
    <t>DIVISION INSTITUTOS POLICIALES</t>
  </si>
  <si>
    <t>3710105/7</t>
  </si>
  <si>
    <t>3710112/5</t>
  </si>
  <si>
    <t>COPARTICIPACION DRNP RIO GRANDE</t>
  </si>
  <si>
    <t>3710113/2</t>
  </si>
  <si>
    <t>CANAL 13</t>
  </si>
  <si>
    <t>3710121/7</t>
  </si>
  <si>
    <t>3710138/5</t>
  </si>
  <si>
    <t>ACC.VINCULAC.EDUC.MUNDO TRABAJO</t>
  </si>
  <si>
    <t>3710165/1</t>
  </si>
  <si>
    <t>PROGR. HIDATIDOSIS Y ZOONOSIS- MS</t>
  </si>
  <si>
    <t>Dep CAM 48hs</t>
  </si>
  <si>
    <t>GIROS</t>
  </si>
  <si>
    <t xml:space="preserve">Fecha de pago </t>
  </si>
  <si>
    <t>Prov</t>
  </si>
  <si>
    <t xml:space="preserve">Monto </t>
  </si>
  <si>
    <t>Clasificación</t>
  </si>
  <si>
    <t>JUZGADO DE PRIEMRA INSTANCIA D</t>
  </si>
  <si>
    <t xml:space="preserve">Subsidio </t>
  </si>
  <si>
    <t>INGENIERIA FUEGUINA S.R.L.-INV</t>
  </si>
  <si>
    <t xml:space="preserve">Proveedor </t>
  </si>
  <si>
    <t>PODER LEGISLATIVO DE LA PROVIN</t>
  </si>
  <si>
    <t xml:space="preserve">Transferencia </t>
  </si>
  <si>
    <t>TRIBUNAL DE CUENTAS</t>
  </si>
  <si>
    <t>PODER JUDICIAL</t>
  </si>
  <si>
    <t>SUBSEC.DE TRABAJO(PEL)</t>
  </si>
  <si>
    <t>Subsidio</t>
  </si>
  <si>
    <t>SOTOMAYOR NESTOR OSVALDO</t>
  </si>
  <si>
    <t xml:space="preserve">Haberes </t>
  </si>
  <si>
    <t>ORGANIZACION JCV SRL</t>
  </si>
  <si>
    <t>BROOK JORGE MARTIN</t>
  </si>
  <si>
    <t>AIRJET SERVICIOS AEREOS S.R.L.</t>
  </si>
  <si>
    <t>AGNES HUGO FRANCISCO</t>
  </si>
  <si>
    <t>CLINICA DEL NIÑO DE QUILMES S.</t>
  </si>
  <si>
    <t>INST.DE PSICOPATOLOGIA NUESTRA</t>
  </si>
  <si>
    <t>VENDITTI LUIS ALBERTO</t>
  </si>
  <si>
    <t>ABIN S.A.</t>
  </si>
  <si>
    <t>COSTAN ROSA MARIA</t>
  </si>
  <si>
    <t>GONZALEZ PAULA ANDREA</t>
  </si>
  <si>
    <t>MUNICIPALIDAD DE USHUAIA (COPA</t>
  </si>
  <si>
    <t>Coparticipación</t>
  </si>
  <si>
    <t>MUNICIPALIDAD DE RIO GRANDE</t>
  </si>
  <si>
    <t>COMUNA DE TOLHUIN (COPARTICIPA</t>
  </si>
  <si>
    <t>FDO.ESP. LEY DE FINANCIAMIENTO</t>
  </si>
  <si>
    <t xml:space="preserve">Fecha </t>
  </si>
  <si>
    <t xml:space="preserve">Dtos. Judiciales </t>
  </si>
  <si>
    <t>Haberes</t>
  </si>
  <si>
    <t xml:space="preserve">Letras Petrel </t>
  </si>
  <si>
    <t xml:space="preserve">Proveedores </t>
  </si>
  <si>
    <t>Transferencias</t>
  </si>
  <si>
    <t xml:space="preserve">Coparticipación </t>
  </si>
  <si>
    <t>Ipauss</t>
  </si>
  <si>
    <t>Total General</t>
  </si>
  <si>
    <t>Subtotal</t>
  </si>
  <si>
    <t>Pagos del día 25/02/08, incluye $5400 correspondiente a un pago judicial.</t>
  </si>
  <si>
    <t>Pagos del día 26/02/08, incluye $320 correspondientes a pagos judiciales.</t>
  </si>
  <si>
    <t>Pagos a proveedores del día 28/02/08, incluye $80 correspondientes a pagos judiciales.</t>
  </si>
  <si>
    <t>TOTALES</t>
  </si>
  <si>
    <t>Pagos a proveedores del día 03/03/08, incluye $80 correspondientes a pagos judiciales.</t>
  </si>
  <si>
    <t>Pagos a proveedores del día 19/03/08, incluye $3966,35 correspondientes a pagos judiciales.</t>
  </si>
  <si>
    <t>PAGOS DIARIOS</t>
  </si>
  <si>
    <t>Saldo Disponible</t>
  </si>
  <si>
    <t>INGRESOS TOTATES</t>
  </si>
  <si>
    <t>Otros Débitos Bancarios</t>
  </si>
  <si>
    <t>Saldo CUT</t>
  </si>
  <si>
    <t>Nacionales</t>
  </si>
  <si>
    <t>Provinciales</t>
  </si>
  <si>
    <t xml:space="preserve">Afectación </t>
  </si>
  <si>
    <t xml:space="preserve">Total </t>
  </si>
  <si>
    <t>Pagos a proveedores del día 25/02/08, incluye $5400 correspondiente a un pago judicial.</t>
  </si>
  <si>
    <t>Pagos a proveedores del día 26/02/08, incluye $320 correspondientes a pagos judiciales.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</si>
</sst>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-&quot;#,##0.00\ ;&quot; -&quot;#\ ;@\ "/>
    <numFmt numFmtId="166" formatCode="#,##0.00\ ;&quot; (&quot;#,##0.00\);&quot; -&quot;#\ ;@\ "/>
    <numFmt numFmtId="167" formatCode="#,###.00"/>
    <numFmt numFmtId="168" formatCode="#,##0.00"/>
    <numFmt numFmtId="169" formatCode="DD/MM/YY"/>
    <numFmt numFmtId="170" formatCode="#,#00.00"/>
    <numFmt numFmtId="171" formatCode="&quot;$ &quot;#,##0.00"/>
    <numFmt numFmtId="172" formatCode="DD/MM/YYYY"/>
    <numFmt numFmtId="173" formatCode="[$$-2C0A]\ #,##0.00"/>
    <numFmt numFmtId="174" formatCode="[$$-2C0A]\ #,##0.00;[RED][$$-2C0A]\ #,##0.00"/>
  </numFmts>
  <fonts count="19">
    <font>
      <sz val="10"/>
      <name val="DejaVu Sans"/>
      <family val="2"/>
    </font>
    <font>
      <sz val="10"/>
      <name val="Arial"/>
      <family val="0"/>
    </font>
    <font>
      <sz val="8"/>
      <name val="DejaVu Sans"/>
      <family val="2"/>
    </font>
    <font>
      <b/>
      <sz val="8"/>
      <name val="Arial"/>
      <family val="2"/>
    </font>
    <font>
      <b/>
      <sz val="10"/>
      <name val="DejaVu Sans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color indexed="30"/>
      <name val="DejaVu Sans"/>
      <family val="2"/>
    </font>
    <font>
      <b/>
      <sz val="8"/>
      <name val="DejaVu Sans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9"/>
      <color indexed="12"/>
      <name val="DejaVu Sans"/>
      <family val="2"/>
    </font>
    <font>
      <sz val="12"/>
      <name val="DejaVu Sans"/>
      <family val="2"/>
    </font>
    <font>
      <b/>
      <sz val="13"/>
      <name val="DejaVu Sans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5" fontId="3" fillId="0" borderId="0" xfId="15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5" fontId="3" fillId="0" borderId="0" xfId="15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3" fillId="2" borderId="2" xfId="15" applyFont="1" applyFill="1" applyBorder="1" applyAlignment="1" applyProtection="1">
      <alignment horizontal="center"/>
      <protection/>
    </xf>
    <xf numFmtId="165" fontId="3" fillId="2" borderId="3" xfId="15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5" fontId="6" fillId="3" borderId="2" xfId="15" applyFont="1" applyFill="1" applyBorder="1" applyAlignment="1" applyProtection="1">
      <alignment/>
      <protection/>
    </xf>
    <xf numFmtId="165" fontId="6" fillId="3" borderId="3" xfId="15" applyFont="1" applyFill="1" applyBorder="1" applyAlignment="1" applyProtection="1">
      <alignment/>
      <protection/>
    </xf>
    <xf numFmtId="164" fontId="6" fillId="3" borderId="4" xfId="0" applyFont="1" applyFill="1" applyBorder="1" applyAlignment="1">
      <alignment/>
    </xf>
    <xf numFmtId="164" fontId="3" fillId="3" borderId="5" xfId="0" applyFont="1" applyFill="1" applyBorder="1" applyAlignment="1">
      <alignment/>
    </xf>
    <xf numFmtId="165" fontId="6" fillId="0" borderId="6" xfId="15" applyFont="1" applyFill="1" applyBorder="1" applyAlignment="1" applyProtection="1">
      <alignment/>
      <protection/>
    </xf>
    <xf numFmtId="165" fontId="6" fillId="3" borderId="0" xfId="15" applyFont="1" applyFill="1" applyBorder="1" applyAlignment="1" applyProtection="1">
      <alignment/>
      <protection/>
    </xf>
    <xf numFmtId="165" fontId="6" fillId="3" borderId="6" xfId="15" applyFont="1" applyFill="1" applyBorder="1" applyAlignment="1" applyProtection="1">
      <alignment/>
      <protection/>
    </xf>
    <xf numFmtId="164" fontId="6" fillId="3" borderId="7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6" fontId="6" fillId="3" borderId="7" xfId="0" applyNumberFormat="1" applyFont="1" applyFill="1" applyBorder="1" applyAlignment="1">
      <alignment/>
    </xf>
    <xf numFmtId="165" fontId="9" fillId="3" borderId="0" xfId="15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5" fontId="6" fillId="3" borderId="8" xfId="15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6" fontId="6" fillId="3" borderId="5" xfId="0" applyNumberFormat="1" applyFont="1" applyFill="1" applyBorder="1" applyAlignment="1">
      <alignment/>
    </xf>
    <xf numFmtId="164" fontId="3" fillId="4" borderId="5" xfId="0" applyFont="1" applyFill="1" applyBorder="1" applyAlignment="1">
      <alignment/>
    </xf>
    <xf numFmtId="165" fontId="6" fillId="4" borderId="6" xfId="15" applyFont="1" applyFill="1" applyBorder="1" applyAlignment="1" applyProtection="1">
      <alignment/>
      <protection/>
    </xf>
    <xf numFmtId="165" fontId="10" fillId="4" borderId="6" xfId="15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4" fontId="10" fillId="3" borderId="5" xfId="0" applyFont="1" applyFill="1" applyBorder="1" applyAlignment="1">
      <alignment/>
    </xf>
    <xf numFmtId="165" fontId="10" fillId="3" borderId="6" xfId="15" applyFont="1" applyFill="1" applyBorder="1" applyAlignment="1" applyProtection="1">
      <alignment horizontal="right"/>
      <protection/>
    </xf>
    <xf numFmtId="165" fontId="6" fillId="3" borderId="6" xfId="15" applyNumberFormat="1" applyFont="1" applyFill="1" applyBorder="1" applyAlignment="1" applyProtection="1">
      <alignment/>
      <protection/>
    </xf>
    <xf numFmtId="164" fontId="6" fillId="0" borderId="9" xfId="0" applyFont="1" applyFill="1" applyBorder="1" applyAlignment="1">
      <alignment/>
    </xf>
    <xf numFmtId="165" fontId="11" fillId="0" borderId="10" xfId="15" applyFont="1" applyFill="1" applyBorder="1" applyAlignment="1" applyProtection="1">
      <alignment/>
      <protection/>
    </xf>
    <xf numFmtId="165" fontId="6" fillId="3" borderId="11" xfId="15" applyFont="1" applyFill="1" applyBorder="1" applyAlignment="1" applyProtection="1">
      <alignment/>
      <protection/>
    </xf>
    <xf numFmtId="165" fontId="6" fillId="3" borderId="10" xfId="15" applyFont="1" applyFill="1" applyBorder="1" applyAlignment="1" applyProtection="1">
      <alignment/>
      <protection/>
    </xf>
    <xf numFmtId="164" fontId="6" fillId="3" borderId="12" xfId="0" applyFont="1" applyFill="1" applyBorder="1" applyAlignment="1">
      <alignment/>
    </xf>
    <xf numFmtId="164" fontId="10" fillId="0" borderId="13" xfId="0" applyFont="1" applyFill="1" applyBorder="1" applyAlignment="1">
      <alignment horizontal="left"/>
    </xf>
    <xf numFmtId="165" fontId="10" fillId="0" borderId="14" xfId="15" applyFont="1" applyFill="1" applyBorder="1" applyAlignment="1" applyProtection="1">
      <alignment horizontal="center"/>
      <protection/>
    </xf>
    <xf numFmtId="164" fontId="10" fillId="0" borderId="13" xfId="0" applyFont="1" applyFill="1" applyBorder="1" applyAlignment="1">
      <alignment horizontal="left" wrapText="1"/>
    </xf>
    <xf numFmtId="164" fontId="10" fillId="4" borderId="13" xfId="0" applyFont="1" applyFill="1" applyBorder="1" applyAlignment="1">
      <alignment horizontal="left" wrapText="1"/>
    </xf>
    <xf numFmtId="165" fontId="10" fillId="4" borderId="14" xfId="15" applyFont="1" applyFill="1" applyBorder="1" applyAlignment="1" applyProtection="1">
      <alignment horizontal="center"/>
      <protection/>
    </xf>
    <xf numFmtId="164" fontId="5" fillId="0" borderId="13" xfId="0" applyFont="1" applyFill="1" applyBorder="1" applyAlignment="1">
      <alignment horizontal="left" wrapText="1"/>
    </xf>
    <xf numFmtId="165" fontId="5" fillId="0" borderId="14" xfId="15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wrapText="1"/>
    </xf>
    <xf numFmtId="164" fontId="5" fillId="0" borderId="15" xfId="0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1" fillId="0" borderId="15" xfId="0" applyFont="1" applyFill="1" applyBorder="1" applyAlignment="1">
      <alignment horizontal="left"/>
    </xf>
    <xf numFmtId="170" fontId="0" fillId="0" borderId="15" xfId="0" applyNumberFormat="1" applyBorder="1" applyAlignment="1">
      <alignment/>
    </xf>
    <xf numFmtId="170" fontId="0" fillId="0" borderId="0" xfId="0" applyNumberFormat="1" applyFill="1" applyAlignment="1">
      <alignment/>
    </xf>
    <xf numFmtId="164" fontId="5" fillId="0" borderId="15" xfId="0" applyFont="1" applyFill="1" applyBorder="1" applyAlignment="1">
      <alignment horizontal="left" wrapText="1"/>
    </xf>
    <xf numFmtId="168" fontId="4" fillId="0" borderId="15" xfId="0" applyNumberFormat="1" applyFont="1" applyBorder="1" applyAlignment="1">
      <alignment/>
    </xf>
    <xf numFmtId="168" fontId="0" fillId="0" borderId="15" xfId="0" applyNumberFormat="1" applyBorder="1" applyAlignment="1">
      <alignment/>
    </xf>
    <xf numFmtId="164" fontId="10" fillId="0" borderId="15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/>
    </xf>
    <xf numFmtId="164" fontId="2" fillId="0" borderId="16" xfId="0" applyFont="1" applyBorder="1" applyAlignment="1">
      <alignment/>
    </xf>
    <xf numFmtId="164" fontId="0" fillId="0" borderId="17" xfId="0" applyBorder="1" applyAlignment="1">
      <alignment/>
    </xf>
    <xf numFmtId="167" fontId="0" fillId="0" borderId="18" xfId="0" applyNumberFormat="1" applyBorder="1" applyAlignment="1">
      <alignment/>
    </xf>
    <xf numFmtId="164" fontId="2" fillId="0" borderId="19" xfId="0" applyFont="1" applyBorder="1" applyAlignment="1">
      <alignment/>
    </xf>
    <xf numFmtId="164" fontId="0" fillId="0" borderId="20" xfId="0" applyBorder="1" applyAlignment="1">
      <alignment/>
    </xf>
    <xf numFmtId="167" fontId="0" fillId="0" borderId="21" xfId="0" applyNumberFormat="1" applyBorder="1" applyAlignment="1">
      <alignment/>
    </xf>
    <xf numFmtId="164" fontId="0" fillId="0" borderId="20" xfId="0" applyFill="1" applyBorder="1" applyAlignment="1">
      <alignment/>
    </xf>
    <xf numFmtId="164" fontId="0" fillId="0" borderId="20" xfId="0" applyFont="1" applyBorder="1" applyAlignment="1">
      <alignment/>
    </xf>
    <xf numFmtId="164" fontId="5" fillId="0" borderId="15" xfId="0" applyFont="1" applyFill="1" applyBorder="1" applyAlignment="1">
      <alignment horizontal="left" vertical="center" wrapText="1"/>
    </xf>
    <xf numFmtId="167" fontId="0" fillId="0" borderId="0" xfId="0" applyNumberFormat="1" applyFill="1" applyAlignment="1">
      <alignment/>
    </xf>
    <xf numFmtId="164" fontId="0" fillId="0" borderId="22" xfId="0" applyFill="1" applyBorder="1" applyAlignment="1">
      <alignment/>
    </xf>
    <xf numFmtId="167" fontId="4" fillId="0" borderId="15" xfId="0" applyNumberFormat="1" applyFont="1" applyBorder="1" applyAlignment="1">
      <alignment/>
    </xf>
    <xf numFmtId="164" fontId="13" fillId="5" borderId="23" xfId="0" applyFont="1" applyFill="1" applyBorder="1" applyAlignment="1">
      <alignment horizontal="left" vertical="center"/>
    </xf>
    <xf numFmtId="164" fontId="4" fillId="5" borderId="22" xfId="0" applyFont="1" applyFill="1" applyBorder="1" applyAlignment="1">
      <alignment/>
    </xf>
    <xf numFmtId="167" fontId="0" fillId="5" borderId="24" xfId="0" applyNumberFormat="1" applyFont="1" applyFill="1" applyBorder="1" applyAlignment="1">
      <alignment/>
    </xf>
    <xf numFmtId="164" fontId="0" fillId="5" borderId="0" xfId="0" applyFill="1" applyAlignment="1">
      <alignment/>
    </xf>
    <xf numFmtId="167" fontId="4" fillId="5" borderId="15" xfId="0" applyNumberFormat="1" applyFont="1" applyFill="1" applyBorder="1" applyAlignment="1">
      <alignment/>
    </xf>
    <xf numFmtId="164" fontId="5" fillId="0" borderId="13" xfId="0" applyFont="1" applyFill="1" applyBorder="1" applyAlignment="1">
      <alignment horizontal="left"/>
    </xf>
    <xf numFmtId="165" fontId="5" fillId="0" borderId="25" xfId="15" applyFont="1" applyFill="1" applyBorder="1" applyAlignment="1" applyProtection="1">
      <alignment horizontal="center"/>
      <protection/>
    </xf>
    <xf numFmtId="164" fontId="0" fillId="0" borderId="25" xfId="0" applyFill="1" applyBorder="1" applyAlignment="1">
      <alignment/>
    </xf>
    <xf numFmtId="167" fontId="4" fillId="0" borderId="14" xfId="0" applyNumberFormat="1" applyFont="1" applyFill="1" applyBorder="1" applyAlignment="1">
      <alignment/>
    </xf>
    <xf numFmtId="167" fontId="4" fillId="0" borderId="26" xfId="0" applyNumberFormat="1" applyFont="1" applyBorder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4" fillId="0" borderId="0" xfId="0" applyFont="1" applyAlignment="1">
      <alignment/>
    </xf>
    <xf numFmtId="165" fontId="3" fillId="3" borderId="0" xfId="15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5" fontId="1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9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71" fontId="0" fillId="0" borderId="0" xfId="0" applyNumberFormat="1" applyAlignment="1">
      <alignment horizontal="right"/>
    </xf>
    <xf numFmtId="164" fontId="5" fillId="0" borderId="0" xfId="0" applyFont="1" applyAlignment="1">
      <alignment horizontal="center"/>
    </xf>
    <xf numFmtId="164" fontId="5" fillId="0" borderId="0" xfId="0" applyFont="1" applyFill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1" fillId="0" borderId="0" xfId="0" applyNumberFormat="1" applyFont="1" applyAlignment="1">
      <alignment horizontal="right"/>
    </xf>
    <xf numFmtId="172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0" fillId="6" borderId="0" xfId="0" applyFill="1" applyAlignment="1">
      <alignment/>
    </xf>
    <xf numFmtId="169" fontId="0" fillId="6" borderId="0" xfId="0" applyNumberFormat="1" applyFill="1" applyAlignment="1">
      <alignment/>
    </xf>
    <xf numFmtId="167" fontId="0" fillId="6" borderId="0" xfId="0" applyNumberFormat="1" applyFill="1" applyAlignment="1">
      <alignment/>
    </xf>
    <xf numFmtId="172" fontId="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64" fontId="5" fillId="0" borderId="15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5" fillId="7" borderId="15" xfId="0" applyFont="1" applyFill="1" applyBorder="1" applyAlignment="1">
      <alignment horizontal="center" vertical="center"/>
    </xf>
    <xf numFmtId="169" fontId="0" fillId="0" borderId="15" xfId="0" applyNumberFormat="1" applyBorder="1" applyAlignment="1">
      <alignment horizontal="center"/>
    </xf>
    <xf numFmtId="168" fontId="5" fillId="7" borderId="15" xfId="0" applyNumberFormat="1" applyFont="1" applyFill="1" applyBorder="1" applyAlignment="1">
      <alignment/>
    </xf>
    <xf numFmtId="169" fontId="5" fillId="7" borderId="15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168" fontId="15" fillId="7" borderId="15" xfId="0" applyNumberFormat="1" applyFont="1" applyFill="1" applyBorder="1" applyAlignment="1">
      <alignment vertical="center"/>
    </xf>
    <xf numFmtId="168" fontId="15" fillId="7" borderId="15" xfId="0" applyNumberFormat="1" applyFont="1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7" borderId="15" xfId="0" applyFont="1" applyFill="1" applyBorder="1" applyAlignment="1">
      <alignment horizontal="center" vertical="center" wrapText="1"/>
    </xf>
    <xf numFmtId="164" fontId="4" fillId="7" borderId="15" xfId="0" applyFont="1" applyFill="1" applyBorder="1" applyAlignment="1">
      <alignment horizontal="center" vertical="center"/>
    </xf>
    <xf numFmtId="164" fontId="5" fillId="0" borderId="15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7" borderId="15" xfId="0" applyNumberFormat="1" applyFont="1" applyFill="1" applyBorder="1" applyAlignment="1">
      <alignment/>
    </xf>
    <xf numFmtId="168" fontId="0" fillId="7" borderId="15" xfId="0" applyNumberFormat="1" applyFill="1" applyBorder="1" applyAlignment="1">
      <alignment/>
    </xf>
    <xf numFmtId="164" fontId="0" fillId="0" borderId="15" xfId="0" applyBorder="1" applyAlignment="1">
      <alignment/>
    </xf>
    <xf numFmtId="164" fontId="0" fillId="0" borderId="0" xfId="0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169" fontId="16" fillId="0" borderId="0" xfId="0" applyNumberFormat="1" applyFont="1" applyAlignment="1">
      <alignment horizontal="right"/>
    </xf>
    <xf numFmtId="164" fontId="16" fillId="0" borderId="0" xfId="0" applyFont="1" applyAlignment="1">
      <alignment/>
    </xf>
    <xf numFmtId="167" fontId="17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right"/>
    </xf>
    <xf numFmtId="169" fontId="16" fillId="4" borderId="0" xfId="0" applyNumberFormat="1" applyFont="1" applyFill="1" applyAlignment="1">
      <alignment horizontal="right"/>
    </xf>
    <xf numFmtId="164" fontId="16" fillId="4" borderId="0" xfId="0" applyFont="1" applyFill="1" applyAlignment="1">
      <alignment/>
    </xf>
    <xf numFmtId="164" fontId="0" fillId="4" borderId="0" xfId="0" applyFill="1" applyAlignment="1">
      <alignment/>
    </xf>
    <xf numFmtId="167" fontId="17" fillId="4" borderId="0" xfId="0" applyNumberFormat="1" applyFont="1" applyFill="1" applyAlignment="1">
      <alignment horizontal="right"/>
    </xf>
    <xf numFmtId="167" fontId="16" fillId="4" borderId="0" xfId="0" applyNumberFormat="1" applyFont="1" applyFill="1" applyAlignment="1">
      <alignment horizontal="right"/>
    </xf>
    <xf numFmtId="167" fontId="1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67"/>
  <sheetViews>
    <sheetView zoomScale="110" zoomScaleNormal="110" zoomScaleSheetLayoutView="80" workbookViewId="0" topLeftCell="A46">
      <selection activeCell="C67" sqref="C67"/>
    </sheetView>
  </sheetViews>
  <sheetFormatPr defaultColWidth="11.00390625" defaultRowHeight="12.75"/>
  <cols>
    <col min="1" max="1" width="10.875" style="0" customWidth="1"/>
    <col min="2" max="2" width="45.50390625" style="1" customWidth="1"/>
    <col min="3" max="3" width="15.25390625" style="1" customWidth="1"/>
    <col min="4" max="6" width="0" style="1" hidden="1" customWidth="1"/>
    <col min="7" max="7" width="13.375" style="0" customWidth="1"/>
    <col min="8" max="8" width="11.75390625" style="0" customWidth="1"/>
    <col min="9" max="16384" width="10.625" style="0" customWidth="1"/>
  </cols>
  <sheetData>
    <row r="1" spans="2:256" s="2" customFormat="1" ht="12">
      <c r="B1" s="3"/>
      <c r="C1" s="4"/>
      <c r="D1" s="4"/>
      <c r="E1" s="4"/>
      <c r="F1" s="5"/>
      <c r="IU1"/>
      <c r="IV1"/>
    </row>
    <row r="2" spans="2:256" s="2" customFormat="1" ht="12">
      <c r="B2" s="3"/>
      <c r="C2" s="6" t="s">
        <v>0</v>
      </c>
      <c r="D2" s="4"/>
      <c r="E2" s="4"/>
      <c r="F2" s="5"/>
      <c r="H2" s="2" t="s">
        <v>1</v>
      </c>
      <c r="IU2"/>
      <c r="IV2"/>
    </row>
    <row r="3" spans="2:256" s="2" customFormat="1" ht="12">
      <c r="B3" s="3"/>
      <c r="C3" s="6" t="s">
        <v>2</v>
      </c>
      <c r="D3" s="4"/>
      <c r="E3" s="4"/>
      <c r="F3" s="5"/>
      <c r="IU3"/>
      <c r="IV3"/>
    </row>
    <row r="4" spans="2:256" s="2" customFormat="1" ht="12">
      <c r="B4" s="3" t="s">
        <v>3</v>
      </c>
      <c r="C4" s="4"/>
      <c r="D4" s="4"/>
      <c r="E4" s="4"/>
      <c r="F4" s="5"/>
      <c r="IU4"/>
      <c r="IV4"/>
    </row>
    <row r="5" spans="2:256" s="2" customFormat="1" ht="12">
      <c r="B5" s="3"/>
      <c r="C5" s="4"/>
      <c r="D5" s="4"/>
      <c r="E5" s="4"/>
      <c r="F5" s="5"/>
      <c r="IU5"/>
      <c r="IV5"/>
    </row>
    <row r="6" spans="2:256" s="2" customFormat="1" ht="12">
      <c r="B6" s="3" t="s">
        <v>4</v>
      </c>
      <c r="C6" s="4"/>
      <c r="D6" s="4"/>
      <c r="E6" s="4"/>
      <c r="F6" s="5"/>
      <c r="IU6"/>
      <c r="IV6"/>
    </row>
    <row r="7" spans="2:256" s="2" customFormat="1" ht="12">
      <c r="B7" s="3"/>
      <c r="C7" s="4"/>
      <c r="D7" s="4"/>
      <c r="E7" s="4"/>
      <c r="F7" s="5"/>
      <c r="IU7"/>
      <c r="IV7"/>
    </row>
    <row r="8" spans="2:256" s="2" customFormat="1" ht="12">
      <c r="B8" s="3" t="s">
        <v>5</v>
      </c>
      <c r="C8" s="4"/>
      <c r="D8" s="4"/>
      <c r="E8" s="4"/>
      <c r="F8" s="5"/>
      <c r="IU8"/>
      <c r="IV8"/>
    </row>
    <row r="9" spans="2:256" s="2" customFormat="1" ht="12">
      <c r="B9" s="3" t="s">
        <v>6</v>
      </c>
      <c r="C9" s="4"/>
      <c r="D9" s="4"/>
      <c r="E9" s="4"/>
      <c r="F9" s="5"/>
      <c r="IU9"/>
      <c r="IV9"/>
    </row>
    <row r="10" spans="2:256" s="2" customFormat="1" ht="12">
      <c r="B10" s="3" t="s">
        <v>7</v>
      </c>
      <c r="C10" s="4"/>
      <c r="D10" s="4"/>
      <c r="E10" s="4"/>
      <c r="F10" s="5"/>
      <c r="IU10"/>
      <c r="IV10"/>
    </row>
    <row r="11" spans="2:256" s="2" customFormat="1" ht="12">
      <c r="B11" s="3" t="s">
        <v>8</v>
      </c>
      <c r="C11" s="4"/>
      <c r="D11" s="4"/>
      <c r="E11" s="4"/>
      <c r="F11" s="5"/>
      <c r="IU11"/>
      <c r="IV11"/>
    </row>
    <row r="12" spans="2:256" s="2" customFormat="1" ht="12">
      <c r="B12" s="3" t="s">
        <v>9</v>
      </c>
      <c r="C12" s="4"/>
      <c r="D12" s="4"/>
      <c r="E12" s="4"/>
      <c r="F12" s="5"/>
      <c r="IU12"/>
      <c r="IV12"/>
    </row>
    <row r="13" spans="2:256" s="2" customFormat="1" ht="12">
      <c r="B13" s="3" t="s">
        <v>10</v>
      </c>
      <c r="C13" s="4"/>
      <c r="D13" s="4"/>
      <c r="E13" s="4"/>
      <c r="F13" s="5"/>
      <c r="IU13"/>
      <c r="IV13"/>
    </row>
    <row r="14" spans="2:256" s="2" customFormat="1" ht="12">
      <c r="B14" s="3"/>
      <c r="C14" s="4"/>
      <c r="D14" s="4"/>
      <c r="E14" s="4"/>
      <c r="F14" s="5"/>
      <c r="IU14"/>
      <c r="IV14"/>
    </row>
    <row r="15" spans="2:256" s="2" customFormat="1" ht="12">
      <c r="B15" s="3"/>
      <c r="C15" s="4"/>
      <c r="D15" s="4"/>
      <c r="E15" s="4"/>
      <c r="F15" s="5"/>
      <c r="IU15"/>
      <c r="IV15"/>
    </row>
    <row r="16" spans="2:256" s="2" customFormat="1" ht="12">
      <c r="B16" s="7"/>
      <c r="C16" s="7"/>
      <c r="D16" s="4"/>
      <c r="E16" s="4"/>
      <c r="F16" s="5"/>
      <c r="G16" s="2">
        <v>0</v>
      </c>
      <c r="IU16"/>
      <c r="IV16"/>
    </row>
    <row r="17" spans="2:256" s="2" customFormat="1" ht="12">
      <c r="B17" s="8" t="s">
        <v>6</v>
      </c>
      <c r="C17" s="7"/>
      <c r="D17" s="4"/>
      <c r="E17" s="4"/>
      <c r="F17" s="5"/>
      <c r="IU17"/>
      <c r="IV17"/>
    </row>
    <row r="18" spans="2:256" s="2" customFormat="1" ht="12">
      <c r="B18" s="5"/>
      <c r="C18" s="4"/>
      <c r="D18" s="4"/>
      <c r="E18" s="4"/>
      <c r="F18" s="5"/>
      <c r="IU18"/>
      <c r="IV18"/>
    </row>
    <row r="19" spans="2:6" ht="12">
      <c r="B19" s="9" t="s">
        <v>11</v>
      </c>
      <c r="C19" s="10" t="s">
        <v>12</v>
      </c>
      <c r="D19" s="11" t="s">
        <v>13</v>
      </c>
      <c r="E19" s="10" t="s">
        <v>14</v>
      </c>
      <c r="F19" s="12" t="s">
        <v>15</v>
      </c>
    </row>
    <row r="20" spans="2:6" ht="12">
      <c r="B20" s="13"/>
      <c r="C20" s="14"/>
      <c r="D20" s="15"/>
      <c r="E20" s="14"/>
      <c r="F20" s="16"/>
    </row>
    <row r="21" spans="2:6" ht="12">
      <c r="B21" s="17" t="s">
        <v>16</v>
      </c>
      <c r="C21" s="18">
        <v>90912698.82</v>
      </c>
      <c r="D21" s="19"/>
      <c r="E21" s="20"/>
      <c r="F21" s="21"/>
    </row>
    <row r="22" spans="2:6" ht="12">
      <c r="B22" s="17"/>
      <c r="C22" s="20"/>
      <c r="D22" s="19"/>
      <c r="E22" s="20"/>
      <c r="F22" s="21"/>
    </row>
    <row r="23" spans="2:6" ht="12">
      <c r="B23" s="17" t="s">
        <v>17</v>
      </c>
      <c r="C23" s="20">
        <f>SUM(C24:C29)</f>
        <v>8279041.69</v>
      </c>
      <c r="D23" s="19"/>
      <c r="E23" s="20"/>
      <c r="F23" s="21"/>
    </row>
    <row r="24" spans="2:6" ht="12">
      <c r="B24" s="22" t="s">
        <v>18</v>
      </c>
      <c r="C24" s="20">
        <f>'Anexo III'!E10</f>
        <v>7414315.19</v>
      </c>
      <c r="D24" s="19"/>
      <c r="E24" s="20"/>
      <c r="F24" s="23">
        <f>SUM(C24:E24)</f>
        <v>7414315.19</v>
      </c>
    </row>
    <row r="25" spans="2:7" ht="12">
      <c r="B25" s="22" t="s">
        <v>19</v>
      </c>
      <c r="C25" s="20">
        <f>'Anexo III'!E7</f>
        <v>659471.87</v>
      </c>
      <c r="D25" s="24"/>
      <c r="E25" s="20"/>
      <c r="F25" s="23">
        <f>SUM(C25:E25)</f>
        <v>659471.87</v>
      </c>
      <c r="G25" s="25"/>
    </row>
    <row r="26" spans="2:6" ht="12">
      <c r="B26" s="22" t="s">
        <v>20</v>
      </c>
      <c r="C26" s="20">
        <f>'Anexo III'!D12</f>
        <v>0</v>
      </c>
      <c r="D26" s="24"/>
      <c r="E26" s="20"/>
      <c r="F26" s="23"/>
    </row>
    <row r="27" spans="2:7" ht="12">
      <c r="B27" s="22" t="s">
        <v>21</v>
      </c>
      <c r="C27" s="20">
        <f>'Anexo III'!E64</f>
        <v>116400.24</v>
      </c>
      <c r="D27" s="19"/>
      <c r="E27" s="20"/>
      <c r="F27" s="21"/>
      <c r="G27" s="25"/>
    </row>
    <row r="28" spans="2:7" ht="12">
      <c r="B28" s="22" t="s">
        <v>22</v>
      </c>
      <c r="C28" s="20">
        <f>'Anexo III'!E70</f>
        <v>88854.39</v>
      </c>
      <c r="D28" s="26"/>
      <c r="E28" s="20"/>
      <c r="F28" s="23"/>
      <c r="G28" s="25"/>
    </row>
    <row r="29" spans="2:6" ht="12">
      <c r="B29" s="22" t="s">
        <v>23</v>
      </c>
      <c r="C29" s="20">
        <v>0</v>
      </c>
      <c r="D29" s="26"/>
      <c r="E29" s="20"/>
      <c r="F29" s="23"/>
    </row>
    <row r="30" spans="2:6" ht="12">
      <c r="B30" s="22"/>
      <c r="C30" s="20"/>
      <c r="D30" s="26"/>
      <c r="E30" s="20"/>
      <c r="F30" s="23"/>
    </row>
    <row r="31" spans="2:7" ht="12">
      <c r="B31" s="17" t="s">
        <v>24</v>
      </c>
      <c r="C31" s="20">
        <f>SUM(C32:C45)</f>
        <v>3625174.8000000003</v>
      </c>
      <c r="D31" s="20"/>
      <c r="E31" s="20"/>
      <c r="F31" s="23"/>
      <c r="G31" s="27"/>
    </row>
    <row r="32" spans="2:7" ht="12">
      <c r="B32" s="22" t="s">
        <v>25</v>
      </c>
      <c r="C32" s="20">
        <v>1391</v>
      </c>
      <c r="D32" s="19"/>
      <c r="E32" s="20"/>
      <c r="F32" s="21"/>
      <c r="G32" s="28"/>
    </row>
    <row r="33" spans="2:7" ht="12">
      <c r="B33" s="22" t="s">
        <v>26</v>
      </c>
      <c r="C33" s="20"/>
      <c r="D33" s="20"/>
      <c r="E33" s="20"/>
      <c r="F33" s="23">
        <f>SUM(C33:E33)</f>
        <v>0</v>
      </c>
      <c r="G33" s="27"/>
    </row>
    <row r="34" spans="2:7" ht="12">
      <c r="B34" s="22" t="s">
        <v>27</v>
      </c>
      <c r="C34" s="20">
        <v>624611.1</v>
      </c>
      <c r="D34" s="19"/>
      <c r="E34" s="20"/>
      <c r="F34" s="23">
        <f>SUM(C34:E34)</f>
        <v>624611.1</v>
      </c>
      <c r="G34" s="27"/>
    </row>
    <row r="35" spans="2:7" ht="12">
      <c r="B35" s="22" t="s">
        <v>28</v>
      </c>
      <c r="C35" s="20">
        <v>663364.85</v>
      </c>
      <c r="D35" s="19"/>
      <c r="E35" s="20"/>
      <c r="F35" s="23"/>
      <c r="G35" s="27"/>
    </row>
    <row r="36" spans="2:7" ht="12">
      <c r="B36" s="22" t="s">
        <v>29</v>
      </c>
      <c r="C36" s="20">
        <v>51327.39</v>
      </c>
      <c r="D36" s="19"/>
      <c r="E36" s="20"/>
      <c r="F36" s="23"/>
      <c r="G36" s="27"/>
    </row>
    <row r="37" spans="2:7" ht="12">
      <c r="B37" s="22" t="s">
        <v>30</v>
      </c>
      <c r="C37" s="20"/>
      <c r="D37" s="19"/>
      <c r="E37" s="20"/>
      <c r="F37" s="23"/>
      <c r="G37" s="27"/>
    </row>
    <row r="38" spans="2:7" ht="12">
      <c r="B38" s="22" t="s">
        <v>31</v>
      </c>
      <c r="C38" s="20">
        <v>135000</v>
      </c>
      <c r="D38" s="19"/>
      <c r="E38" s="20"/>
      <c r="F38" s="23"/>
      <c r="G38" s="27"/>
    </row>
    <row r="39" spans="2:7" ht="12">
      <c r="B39" s="22" t="s">
        <v>32</v>
      </c>
      <c r="C39" s="20"/>
      <c r="D39" s="19"/>
      <c r="E39" s="20"/>
      <c r="F39" s="23"/>
      <c r="G39" s="27"/>
    </row>
    <row r="40" spans="2:7" ht="12">
      <c r="B40" s="22" t="s">
        <v>33</v>
      </c>
      <c r="C40" s="20">
        <f>696501.2+681349.11</f>
        <v>1377850.31</v>
      </c>
      <c r="D40" s="19"/>
      <c r="E40" s="20"/>
      <c r="F40" s="23"/>
      <c r="G40" s="27"/>
    </row>
    <row r="41" spans="2:7" ht="12">
      <c r="B41" s="22" t="s">
        <v>34</v>
      </c>
      <c r="C41" s="20">
        <v>61392.64</v>
      </c>
      <c r="D41" s="19"/>
      <c r="E41" s="20"/>
      <c r="F41" s="23"/>
      <c r="G41" s="27"/>
    </row>
    <row r="42" spans="2:7" ht="12">
      <c r="B42" s="22" t="s">
        <v>35</v>
      </c>
      <c r="C42" s="20"/>
      <c r="D42" s="19"/>
      <c r="E42" s="20"/>
      <c r="F42" s="23"/>
      <c r="G42" s="27"/>
    </row>
    <row r="43" spans="2:7" ht="12">
      <c r="B43" s="22" t="s">
        <v>36</v>
      </c>
      <c r="C43" s="20">
        <v>532085.6</v>
      </c>
      <c r="D43" s="19"/>
      <c r="E43" s="20"/>
      <c r="F43" s="23"/>
      <c r="G43" s="27"/>
    </row>
    <row r="44" spans="2:7" ht="12">
      <c r="B44" s="22" t="s">
        <v>37</v>
      </c>
      <c r="C44" s="20">
        <v>178151.91</v>
      </c>
      <c r="D44" s="19"/>
      <c r="E44" s="20"/>
      <c r="F44" s="23"/>
      <c r="G44" s="27"/>
    </row>
    <row r="45" spans="2:7" ht="12">
      <c r="B45" s="22" t="s">
        <v>38</v>
      </c>
      <c r="C45" s="20"/>
      <c r="D45" s="20"/>
      <c r="E45" s="20"/>
      <c r="F45" s="23">
        <f>SUM(C45:E45)</f>
        <v>0</v>
      </c>
      <c r="G45" s="27"/>
    </row>
    <row r="46" spans="2:8" ht="12">
      <c r="B46" s="29"/>
      <c r="C46" s="20"/>
      <c r="D46" s="20"/>
      <c r="E46" s="20"/>
      <c r="F46" s="21"/>
      <c r="G46" s="27"/>
      <c r="H46" s="25"/>
    </row>
    <row r="47" spans="2:7" ht="12">
      <c r="B47" s="17" t="s">
        <v>39</v>
      </c>
      <c r="C47" s="20"/>
      <c r="D47" s="19"/>
      <c r="E47" s="20"/>
      <c r="F47" s="21"/>
      <c r="G47" s="27"/>
    </row>
    <row r="48" spans="2:6" ht="12">
      <c r="B48" s="30" t="s">
        <v>40</v>
      </c>
      <c r="C48" s="31"/>
      <c r="D48" s="19"/>
      <c r="E48" s="20"/>
      <c r="F48" s="21"/>
    </row>
    <row r="49" spans="2:6" ht="12">
      <c r="B49" s="22" t="s">
        <v>41</v>
      </c>
      <c r="C49" s="32">
        <f>C56-C50-C51-C53-C52</f>
        <v>9209757.369999997</v>
      </c>
      <c r="D49" s="19"/>
      <c r="E49" s="20"/>
      <c r="F49" s="21"/>
    </row>
    <row r="50" spans="2:6" ht="12">
      <c r="B50" s="22" t="s">
        <v>42</v>
      </c>
      <c r="C50" s="18">
        <f>44031855.51-3138086.31</f>
        <v>40893769.199999996</v>
      </c>
      <c r="D50" s="19"/>
      <c r="E50" s="20"/>
      <c r="F50" s="21"/>
    </row>
    <row r="51" spans="2:6" ht="12">
      <c r="B51" s="22" t="s">
        <v>43</v>
      </c>
      <c r="C51" s="18">
        <f>35053446.12-14793381.8</f>
        <v>20260064.319999997</v>
      </c>
      <c r="D51" s="19"/>
      <c r="E51" s="20"/>
      <c r="F51" s="21"/>
    </row>
    <row r="52" spans="2:8" ht="12">
      <c r="B52" s="22" t="s">
        <v>44</v>
      </c>
      <c r="C52" s="18">
        <f>3138086.31+14793381.8</f>
        <v>17931468.11</v>
      </c>
      <c r="D52" s="19"/>
      <c r="E52" s="20"/>
      <c r="F52" s="21"/>
      <c r="G52" s="33"/>
      <c r="H52" s="33"/>
    </row>
    <row r="53" spans="2:7" ht="12">
      <c r="B53" s="22" t="s">
        <v>45</v>
      </c>
      <c r="C53" s="20">
        <f>6303139.3+4920099.14-351320.04+121969.93+1411460.06-3782822.25-1377850.31+26830.88</f>
        <v>7271506.71</v>
      </c>
      <c r="D53" s="19"/>
      <c r="E53" s="20"/>
      <c r="F53" s="21"/>
      <c r="G53" s="34"/>
    </row>
    <row r="54" spans="2:6" ht="12">
      <c r="B54" s="22"/>
      <c r="C54" s="20"/>
      <c r="D54" s="19"/>
      <c r="E54" s="20"/>
      <c r="F54" s="21"/>
    </row>
    <row r="55" spans="2:7" ht="12">
      <c r="B55" s="22"/>
      <c r="C55" s="20"/>
      <c r="D55" s="19"/>
      <c r="E55" s="20"/>
      <c r="F55" s="21"/>
      <c r="G55" s="35"/>
    </row>
    <row r="56" spans="2:6" ht="12">
      <c r="B56" s="36" t="s">
        <v>46</v>
      </c>
      <c r="C56" s="20">
        <f>C21+C23-C31</f>
        <v>95566565.71</v>
      </c>
      <c r="D56" s="19"/>
      <c r="E56" s="20"/>
      <c r="F56" s="21"/>
    </row>
    <row r="57" spans="2:6" ht="12">
      <c r="B57" s="36" t="s">
        <v>47</v>
      </c>
      <c r="C57" s="37">
        <v>95566565.71</v>
      </c>
      <c r="D57" s="19"/>
      <c r="E57" s="20"/>
      <c r="F57" s="38">
        <f>SUM(F23:F28)-SUM(F33:F46)+SUM(E57)</f>
        <v>7449175.960000001</v>
      </c>
    </row>
    <row r="58" spans="2:6" ht="12">
      <c r="B58" s="39"/>
      <c r="C58" s="40">
        <f>+C56-C57</f>
        <v>0</v>
      </c>
      <c r="D58" s="19"/>
      <c r="E58" s="20"/>
      <c r="F58" s="21"/>
    </row>
    <row r="59" spans="2:6" ht="12">
      <c r="B59" s="1" t="s">
        <v>48</v>
      </c>
      <c r="D59" s="41"/>
      <c r="E59" s="42"/>
      <c r="F59" s="43"/>
    </row>
    <row r="60" ht="12">
      <c r="B60" s="1" t="s">
        <v>49</v>
      </c>
    </row>
    <row r="62" spans="2:3" ht="12">
      <c r="B62" s="44" t="s">
        <v>50</v>
      </c>
      <c r="C62" s="45">
        <f>C57</f>
        <v>95566565.71</v>
      </c>
    </row>
    <row r="63" spans="2:3" ht="21.75">
      <c r="B63" s="46" t="s">
        <v>51</v>
      </c>
      <c r="C63" s="45">
        <f>C64-C57</f>
        <v>30776422.24000001</v>
      </c>
    </row>
    <row r="64" spans="2:3" ht="12">
      <c r="B64" s="44" t="s">
        <v>52</v>
      </c>
      <c r="C64" s="45">
        <f>62277333.81-C66</f>
        <v>126342987.95</v>
      </c>
    </row>
    <row r="65" spans="2:3" ht="12">
      <c r="B65"/>
      <c r="C65"/>
    </row>
    <row r="66" spans="2:3" ht="21.75">
      <c r="B66" s="47" t="s">
        <v>53</v>
      </c>
      <c r="C66" s="48">
        <v>-64065654.14</v>
      </c>
    </row>
    <row r="67" spans="2:3" ht="26.25" customHeight="1">
      <c r="B67" s="49" t="s">
        <v>54</v>
      </c>
      <c r="C67" s="50">
        <f>C64+C66</f>
        <v>62277333.81</v>
      </c>
    </row>
    <row r="68" ht="32.25" customHeight="1"/>
  </sheetData>
  <mergeCells count="1">
    <mergeCell ref="B16:C16"/>
  </mergeCells>
  <printOptions/>
  <pageMargins left="0.7875" right="0.7875" top="0.7875" bottom="1.0527777777777778" header="0.5118055555555555" footer="0.7875"/>
  <pageSetup firstPageNumber="1" useFirstPageNumber="1" horizontalDpi="300" verticalDpi="300" orientation="portrait" paperSize="5" scale="87"/>
  <headerFooter alignWithMargins="0">
    <oddFooter>&amp;C&amp;12Preparado por Tesorería General&amp;R&amp;12(Provisorio)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tabSelected="1" zoomScale="110" zoomScaleNormal="110" zoomScaleSheetLayoutView="80" workbookViewId="0" topLeftCell="A1">
      <pane ySplit="3" topLeftCell="A151" activePane="bottomLeft" state="frozen"/>
      <selection pane="topLeft" activeCell="A1" sqref="A1"/>
      <selection pane="bottomLeft" activeCell="B179" sqref="B179"/>
    </sheetView>
  </sheetViews>
  <sheetFormatPr defaultColWidth="11.00390625" defaultRowHeight="12.75"/>
  <cols>
    <col min="1" max="1" width="7.75390625" style="27" customWidth="1"/>
    <col min="2" max="2" width="38.875" style="27" customWidth="1"/>
    <col min="3" max="3" width="13.875" style="27" customWidth="1"/>
    <col min="4" max="6" width="0" style="27" hidden="1" customWidth="1"/>
    <col min="7" max="7" width="14.25390625" style="27" customWidth="1"/>
    <col min="8" max="8" width="0" style="27" hidden="1" customWidth="1"/>
    <col min="9" max="9" width="16.125" style="27" customWidth="1"/>
    <col min="10" max="236" width="10.625" style="27" customWidth="1"/>
    <col min="237" max="16384" width="10.625" style="0" customWidth="1"/>
  </cols>
  <sheetData>
    <row r="1" spans="1:256" s="27" customFormat="1" ht="12">
      <c r="A1"/>
      <c r="B1" s="51" t="s">
        <v>7</v>
      </c>
      <c r="C1" s="52"/>
      <c r="D1" s="52"/>
      <c r="E1" s="52"/>
      <c r="F1" s="52"/>
      <c r="G1" s="52"/>
      <c r="H1" s="52"/>
      <c r="IT1"/>
      <c r="IU1"/>
      <c r="IV1"/>
    </row>
    <row r="2" spans="1:256" s="27" customFormat="1" ht="12">
      <c r="A2"/>
      <c r="B2" s="53"/>
      <c r="C2"/>
      <c r="IT2"/>
      <c r="IU2"/>
      <c r="IV2"/>
    </row>
    <row r="3" spans="1:256" s="27" customFormat="1" ht="12">
      <c r="A3"/>
      <c r="B3" s="54" t="s">
        <v>55</v>
      </c>
      <c r="C3" s="55">
        <v>39434</v>
      </c>
      <c r="D3" s="55"/>
      <c r="E3" s="55"/>
      <c r="F3" s="55"/>
      <c r="G3" s="55">
        <v>39538</v>
      </c>
      <c r="H3" s="56" t="s">
        <v>56</v>
      </c>
      <c r="IT3"/>
      <c r="IU3"/>
      <c r="IV3"/>
    </row>
    <row r="4" spans="1:256" s="27" customFormat="1" ht="12">
      <c r="A4"/>
      <c r="B4" s="57" t="s">
        <v>57</v>
      </c>
      <c r="C4" s="58">
        <v>185768.28</v>
      </c>
      <c r="D4" s="58">
        <v>129117.6</v>
      </c>
      <c r="E4" s="58">
        <v>141626.7</v>
      </c>
      <c r="F4" s="58">
        <f>D4+E4</f>
        <v>270744.30000000005</v>
      </c>
      <c r="G4" s="58">
        <f>129117.6+141626.7</f>
        <v>270744.30000000005</v>
      </c>
      <c r="H4" s="58">
        <f>G4-C4</f>
        <v>84976.02000000005</v>
      </c>
      <c r="I4" s="59"/>
      <c r="IT4"/>
      <c r="IU4"/>
      <c r="IV4"/>
    </row>
    <row r="5" spans="1:256" s="27" customFormat="1" ht="12">
      <c r="A5"/>
      <c r="B5" s="57" t="s">
        <v>58</v>
      </c>
      <c r="C5" s="58">
        <v>37333.86</v>
      </c>
      <c r="D5" s="58">
        <v>28904.27</v>
      </c>
      <c r="E5" s="58">
        <v>13975.53</v>
      </c>
      <c r="F5" s="58">
        <f>D5+E5</f>
        <v>42879.8</v>
      </c>
      <c r="G5" s="58">
        <f>28904.27+19703.49</f>
        <v>48607.76</v>
      </c>
      <c r="H5" s="58">
        <f>G5-C5</f>
        <v>11273.900000000001</v>
      </c>
      <c r="I5" s="59"/>
      <c r="IT5"/>
      <c r="IU5"/>
      <c r="IV5"/>
    </row>
    <row r="6" spans="1:256" s="27" customFormat="1" ht="12">
      <c r="A6"/>
      <c r="B6" s="57" t="s">
        <v>59</v>
      </c>
      <c r="C6" s="58">
        <v>57585.65</v>
      </c>
      <c r="D6" s="58"/>
      <c r="E6" s="58"/>
      <c r="F6" s="58"/>
      <c r="G6" s="58">
        <f>39017.88+40202</f>
        <v>79219.88</v>
      </c>
      <c r="H6" s="58">
        <f>G6-C6</f>
        <v>21634.230000000003</v>
      </c>
      <c r="I6" s="59"/>
      <c r="IT6"/>
      <c r="IU6"/>
      <c r="IV6"/>
    </row>
    <row r="7" spans="1:256" s="27" customFormat="1" ht="12">
      <c r="A7"/>
      <c r="B7" s="57" t="s">
        <v>60</v>
      </c>
      <c r="C7" s="58">
        <v>1209224.96</v>
      </c>
      <c r="D7" s="58"/>
      <c r="E7" s="58"/>
      <c r="F7" s="58"/>
      <c r="G7" s="58">
        <f>1211802.44+35244.81</f>
        <v>1247047.25</v>
      </c>
      <c r="H7" s="58">
        <f>G7-C7</f>
        <v>37822.29000000004</v>
      </c>
      <c r="I7" s="59"/>
      <c r="IT7"/>
      <c r="IU7"/>
      <c r="IV7"/>
    </row>
    <row r="8" spans="1:256" s="27" customFormat="1" ht="12">
      <c r="A8"/>
      <c r="B8" s="57" t="s">
        <v>61</v>
      </c>
      <c r="C8" s="58">
        <v>169443.34</v>
      </c>
      <c r="D8" s="58"/>
      <c r="E8" s="58"/>
      <c r="F8" s="58"/>
      <c r="G8" s="58">
        <f>186372.34+135358.58</f>
        <v>321730.92</v>
      </c>
      <c r="H8" s="58">
        <f>G8-C8</f>
        <v>152287.58</v>
      </c>
      <c r="I8" s="59"/>
      <c r="IT8"/>
      <c r="IU8"/>
      <c r="IV8"/>
    </row>
    <row r="9" spans="1:256" s="27" customFormat="1" ht="12">
      <c r="A9"/>
      <c r="B9" s="57" t="s">
        <v>62</v>
      </c>
      <c r="C9" s="58">
        <v>1688423.27</v>
      </c>
      <c r="D9" s="58"/>
      <c r="E9" s="58"/>
      <c r="F9" s="58"/>
      <c r="G9" s="58">
        <f>892766.72+851674.4</f>
        <v>1744441.12</v>
      </c>
      <c r="H9" s="58">
        <f>G9-C9</f>
        <v>56017.85000000009</v>
      </c>
      <c r="I9" s="59"/>
      <c r="IT9"/>
      <c r="IU9"/>
      <c r="IV9"/>
    </row>
    <row r="10" spans="1:256" s="27" customFormat="1" ht="12">
      <c r="A10"/>
      <c r="B10" s="57" t="s">
        <v>63</v>
      </c>
      <c r="C10" s="58">
        <v>6629704.29</v>
      </c>
      <c r="D10" s="58"/>
      <c r="E10" s="58"/>
      <c r="F10" s="58"/>
      <c r="G10" s="58">
        <f>6564080.25+8903604.36</f>
        <v>15467684.61</v>
      </c>
      <c r="H10" s="58">
        <f>G10-C10</f>
        <v>8837980.32</v>
      </c>
      <c r="I10" s="59"/>
      <c r="IT10"/>
      <c r="IU10"/>
      <c r="IV10"/>
    </row>
    <row r="11" spans="1:256" s="27" customFormat="1" ht="12">
      <c r="A11"/>
      <c r="B11" s="57" t="s">
        <v>64</v>
      </c>
      <c r="C11" s="58">
        <v>33186.01</v>
      </c>
      <c r="D11" s="58"/>
      <c r="E11" s="58"/>
      <c r="F11" s="58"/>
      <c r="G11" s="58">
        <f>19666.01+35716</f>
        <v>55382.009999999995</v>
      </c>
      <c r="H11" s="58">
        <f>G11-C11</f>
        <v>22195.999999999993</v>
      </c>
      <c r="I11" s="59"/>
      <c r="IT11"/>
      <c r="IU11"/>
      <c r="IV11"/>
    </row>
    <row r="12" spans="1:256" s="27" customFormat="1" ht="12">
      <c r="A12"/>
      <c r="B12" s="57" t="s">
        <v>65</v>
      </c>
      <c r="C12" s="58">
        <v>403656.59</v>
      </c>
      <c r="D12" s="58"/>
      <c r="E12" s="58"/>
      <c r="F12" s="58"/>
      <c r="G12" s="58">
        <f>500641.45+112999.92</f>
        <v>613641.37</v>
      </c>
      <c r="H12" s="58">
        <f>G12-C12</f>
        <v>209984.77999999997</v>
      </c>
      <c r="I12" s="59"/>
      <c r="IT12"/>
      <c r="IU12"/>
      <c r="IV12"/>
    </row>
    <row r="13" spans="1:256" s="27" customFormat="1" ht="12">
      <c r="A13"/>
      <c r="B13" s="57" t="s">
        <v>66</v>
      </c>
      <c r="C13" s="58">
        <v>16982.11</v>
      </c>
      <c r="D13" s="58"/>
      <c r="E13" s="58"/>
      <c r="F13" s="58"/>
      <c r="G13" s="58">
        <v>16982.11</v>
      </c>
      <c r="H13" s="58">
        <f>G13-C13</f>
        <v>0</v>
      </c>
      <c r="I13" s="59"/>
      <c r="IT13"/>
      <c r="IU13"/>
      <c r="IV13"/>
    </row>
    <row r="14" spans="1:256" s="27" customFormat="1" ht="12">
      <c r="A14"/>
      <c r="B14" s="57" t="s">
        <v>67</v>
      </c>
      <c r="C14" s="58">
        <v>212543.42</v>
      </c>
      <c r="D14" s="58"/>
      <c r="E14" s="58"/>
      <c r="F14" s="58"/>
      <c r="G14" s="58">
        <f>190845.92+78336.12</f>
        <v>269182.04000000004</v>
      </c>
      <c r="H14" s="58">
        <f>G14-C14</f>
        <v>56638.620000000024</v>
      </c>
      <c r="I14" s="59"/>
      <c r="IT14"/>
      <c r="IU14"/>
      <c r="IV14"/>
    </row>
    <row r="15" spans="1:256" s="27" customFormat="1" ht="12">
      <c r="A15"/>
      <c r="B15" s="57" t="s">
        <v>68</v>
      </c>
      <c r="C15" s="58">
        <v>5795.21</v>
      </c>
      <c r="D15" s="58"/>
      <c r="E15" s="58"/>
      <c r="F15" s="58"/>
      <c r="G15" s="58">
        <v>5795.21</v>
      </c>
      <c r="H15" s="58">
        <f>G15-C15</f>
        <v>0</v>
      </c>
      <c r="I15" s="59"/>
      <c r="IT15"/>
      <c r="IU15"/>
      <c r="IV15"/>
    </row>
    <row r="16" spans="1:256" s="27" customFormat="1" ht="12">
      <c r="A16"/>
      <c r="B16" s="57" t="s">
        <v>69</v>
      </c>
      <c r="C16" s="58">
        <v>25870.37</v>
      </c>
      <c r="D16" s="58"/>
      <c r="E16" s="58"/>
      <c r="F16" s="58"/>
      <c r="G16" s="58">
        <f>20163.37+56397.43</f>
        <v>76560.8</v>
      </c>
      <c r="H16" s="58">
        <f>G16-C16</f>
        <v>50690.43000000001</v>
      </c>
      <c r="I16" s="59"/>
      <c r="IT16"/>
      <c r="IU16"/>
      <c r="IV16"/>
    </row>
    <row r="17" spans="1:256" s="27" customFormat="1" ht="12">
      <c r="A17"/>
      <c r="B17" s="57" t="s">
        <v>70</v>
      </c>
      <c r="C17" s="58">
        <v>1086557.81</v>
      </c>
      <c r="D17" s="58"/>
      <c r="E17" s="58"/>
      <c r="F17" s="58"/>
      <c r="G17" s="58">
        <f>1086557.81+811553.41</f>
        <v>1898111.2200000002</v>
      </c>
      <c r="H17" s="58">
        <f>G17-C17</f>
        <v>811553.4100000001</v>
      </c>
      <c r="I17" s="59"/>
      <c r="IT17"/>
      <c r="IU17"/>
      <c r="IV17"/>
    </row>
    <row r="18" spans="1:256" s="27" customFormat="1" ht="12">
      <c r="A18"/>
      <c r="B18" s="57" t="s">
        <v>71</v>
      </c>
      <c r="C18" s="58">
        <v>0</v>
      </c>
      <c r="D18" s="58"/>
      <c r="E18" s="58"/>
      <c r="F18" s="58"/>
      <c r="G18" s="58">
        <v>0</v>
      </c>
      <c r="H18" s="58">
        <f>G18-C18</f>
        <v>0</v>
      </c>
      <c r="I18" s="59"/>
      <c r="IT18"/>
      <c r="IU18"/>
      <c r="IV18"/>
    </row>
    <row r="19" spans="1:256" s="27" customFormat="1" ht="12">
      <c r="A19"/>
      <c r="B19" s="57" t="s">
        <v>72</v>
      </c>
      <c r="C19" s="58">
        <v>162.99</v>
      </c>
      <c r="D19" s="58"/>
      <c r="E19" s="58"/>
      <c r="F19" s="58"/>
      <c r="G19" s="58">
        <v>162.99</v>
      </c>
      <c r="H19" s="58">
        <f>G19-C19</f>
        <v>0</v>
      </c>
      <c r="I19" s="59"/>
      <c r="IT19"/>
      <c r="IU19"/>
      <c r="IV19"/>
    </row>
    <row r="20" spans="1:256" s="27" customFormat="1" ht="12">
      <c r="A20"/>
      <c r="B20" s="57" t="s">
        <v>73</v>
      </c>
      <c r="C20" s="58">
        <v>39185.95</v>
      </c>
      <c r="D20" s="58"/>
      <c r="E20" s="58"/>
      <c r="F20" s="58"/>
      <c r="G20" s="58">
        <f>39439.75+6152.6</f>
        <v>45592.35</v>
      </c>
      <c r="H20" s="58">
        <f>G20-C20</f>
        <v>6406.4000000000015</v>
      </c>
      <c r="I20" s="59"/>
      <c r="IT20"/>
      <c r="IU20"/>
      <c r="IV20"/>
    </row>
    <row r="21" spans="1:256" s="27" customFormat="1" ht="12">
      <c r="A21"/>
      <c r="B21" s="57" t="s">
        <v>74</v>
      </c>
      <c r="C21" s="58">
        <v>7678.87</v>
      </c>
      <c r="D21" s="58"/>
      <c r="E21" s="58"/>
      <c r="F21" s="58"/>
      <c r="G21" s="58">
        <v>7678.87</v>
      </c>
      <c r="H21" s="58">
        <f>G21-C21</f>
        <v>0</v>
      </c>
      <c r="I21" s="59"/>
      <c r="IT21"/>
      <c r="IU21"/>
      <c r="IV21"/>
    </row>
    <row r="22" spans="1:256" s="27" customFormat="1" ht="12">
      <c r="A22"/>
      <c r="B22" s="57" t="s">
        <v>75</v>
      </c>
      <c r="C22" s="58">
        <v>7568287.64</v>
      </c>
      <c r="D22" s="58"/>
      <c r="E22" s="58"/>
      <c r="F22" s="58"/>
      <c r="G22" s="58">
        <f>7863823.26+2203677.53</f>
        <v>10067500.79</v>
      </c>
      <c r="H22" s="58">
        <f>G22-C22</f>
        <v>2499213.1499999994</v>
      </c>
      <c r="I22" s="59"/>
      <c r="IT22"/>
      <c r="IU22"/>
      <c r="IV22"/>
    </row>
    <row r="23" spans="1:256" s="27" customFormat="1" ht="12">
      <c r="A23"/>
      <c r="B23" s="57" t="s">
        <v>76</v>
      </c>
      <c r="C23" s="58">
        <v>59212.31</v>
      </c>
      <c r="D23" s="58"/>
      <c r="E23" s="58"/>
      <c r="F23" s="58"/>
      <c r="G23" s="58">
        <f>59212.31+220</f>
        <v>59432.31</v>
      </c>
      <c r="H23" s="58">
        <f>G23-C23</f>
        <v>220</v>
      </c>
      <c r="I23" s="59"/>
      <c r="IT23"/>
      <c r="IU23"/>
      <c r="IV23"/>
    </row>
    <row r="24" spans="1:256" s="27" customFormat="1" ht="12">
      <c r="A24"/>
      <c r="B24" s="57" t="s">
        <v>77</v>
      </c>
      <c r="C24" s="58">
        <v>28906.9</v>
      </c>
      <c r="D24" s="58"/>
      <c r="E24" s="58"/>
      <c r="F24" s="58"/>
      <c r="G24" s="58">
        <f>30576.9+51210</f>
        <v>81786.9</v>
      </c>
      <c r="H24" s="58">
        <f>G24-C24</f>
        <v>52879.99999999999</v>
      </c>
      <c r="I24" s="59"/>
      <c r="IT24"/>
      <c r="IU24"/>
      <c r="IV24"/>
    </row>
    <row r="25" spans="1:256" s="27" customFormat="1" ht="12">
      <c r="A25"/>
      <c r="B25" s="57" t="s">
        <v>78</v>
      </c>
      <c r="C25" s="58">
        <v>496.5</v>
      </c>
      <c r="D25" s="58"/>
      <c r="E25" s="58"/>
      <c r="F25" s="58"/>
      <c r="G25" s="58">
        <v>496.5</v>
      </c>
      <c r="H25" s="58">
        <f>G25-C25</f>
        <v>0</v>
      </c>
      <c r="I25" s="59"/>
      <c r="IT25"/>
      <c r="IU25"/>
      <c r="IV25"/>
    </row>
    <row r="26" spans="1:256" s="27" customFormat="1" ht="12">
      <c r="A26"/>
      <c r="B26" s="57" t="s">
        <v>79</v>
      </c>
      <c r="C26" s="58">
        <v>0</v>
      </c>
      <c r="D26" s="58"/>
      <c r="E26" s="58"/>
      <c r="F26" s="58"/>
      <c r="G26" s="58">
        <v>0</v>
      </c>
      <c r="H26" s="58">
        <f>G26-C26</f>
        <v>0</v>
      </c>
      <c r="I26" s="59"/>
      <c r="IT26"/>
      <c r="IU26"/>
      <c r="IV26"/>
    </row>
    <row r="27" spans="1:256" s="27" customFormat="1" ht="12">
      <c r="A27"/>
      <c r="B27" s="57" t="s">
        <v>80</v>
      </c>
      <c r="C27" s="58">
        <v>0</v>
      </c>
      <c r="D27" s="58"/>
      <c r="E27" s="58"/>
      <c r="F27" s="58"/>
      <c r="G27" s="58">
        <v>0</v>
      </c>
      <c r="H27" s="58">
        <f>G27-C27</f>
        <v>0</v>
      </c>
      <c r="I27" s="59"/>
      <c r="IT27"/>
      <c r="IU27"/>
      <c r="IV27"/>
    </row>
    <row r="28" spans="1:256" s="27" customFormat="1" ht="12">
      <c r="A28"/>
      <c r="B28" s="57" t="s">
        <v>81</v>
      </c>
      <c r="C28" s="58">
        <v>0</v>
      </c>
      <c r="D28" s="58"/>
      <c r="E28" s="58"/>
      <c r="F28" s="58"/>
      <c r="G28" s="58">
        <v>0</v>
      </c>
      <c r="H28" s="58">
        <f>G28-C28</f>
        <v>0</v>
      </c>
      <c r="I28" s="59"/>
      <c r="IT28"/>
      <c r="IU28"/>
      <c r="IV28"/>
    </row>
    <row r="29" spans="1:256" s="27" customFormat="1" ht="12">
      <c r="A29"/>
      <c r="B29" s="57" t="s">
        <v>82</v>
      </c>
      <c r="C29" s="58">
        <v>0</v>
      </c>
      <c r="D29" s="58"/>
      <c r="E29" s="58"/>
      <c r="F29" s="58"/>
      <c r="G29" s="58">
        <v>0</v>
      </c>
      <c r="H29" s="58">
        <f>G29-C29</f>
        <v>0</v>
      </c>
      <c r="I29" s="59"/>
      <c r="IT29"/>
      <c r="IU29"/>
      <c r="IV29"/>
    </row>
    <row r="30" spans="1:256" s="27" customFormat="1" ht="12">
      <c r="A30"/>
      <c r="B30" s="57" t="s">
        <v>83</v>
      </c>
      <c r="C30" s="58">
        <v>5980.53</v>
      </c>
      <c r="D30" s="58"/>
      <c r="E30" s="58"/>
      <c r="F30" s="58"/>
      <c r="G30" s="58">
        <v>5980.53</v>
      </c>
      <c r="H30" s="58">
        <f>G30-C30</f>
        <v>0</v>
      </c>
      <c r="I30" s="59"/>
      <c r="IT30"/>
      <c r="IU30"/>
      <c r="IV30"/>
    </row>
    <row r="31" spans="1:256" s="27" customFormat="1" ht="12">
      <c r="A31"/>
      <c r="B31" s="57" t="s">
        <v>84</v>
      </c>
      <c r="C31" s="58">
        <v>0</v>
      </c>
      <c r="D31" s="58"/>
      <c r="E31" s="58"/>
      <c r="F31" s="58"/>
      <c r="G31" s="58">
        <v>0</v>
      </c>
      <c r="H31" s="58">
        <f>G31-C31</f>
        <v>0</v>
      </c>
      <c r="I31" s="59"/>
      <c r="IT31"/>
      <c r="IU31"/>
      <c r="IV31"/>
    </row>
    <row r="32" spans="1:256" s="27" customFormat="1" ht="12">
      <c r="A32"/>
      <c r="B32" s="57" t="s">
        <v>85</v>
      </c>
      <c r="C32" s="58">
        <v>0</v>
      </c>
      <c r="D32" s="58"/>
      <c r="E32" s="58"/>
      <c r="F32" s="58"/>
      <c r="G32" s="58">
        <v>0</v>
      </c>
      <c r="H32" s="58">
        <f>G32-C32</f>
        <v>0</v>
      </c>
      <c r="I32" s="59"/>
      <c r="IT32"/>
      <c r="IU32"/>
      <c r="IV32"/>
    </row>
    <row r="33" spans="1:256" s="27" customFormat="1" ht="12">
      <c r="A33"/>
      <c r="B33" s="57" t="s">
        <v>86</v>
      </c>
      <c r="C33" s="58">
        <v>0</v>
      </c>
      <c r="D33" s="58"/>
      <c r="E33" s="58"/>
      <c r="F33" s="58"/>
      <c r="G33" s="58">
        <v>0</v>
      </c>
      <c r="H33" s="58">
        <f>G33-C33</f>
        <v>0</v>
      </c>
      <c r="I33" s="59"/>
      <c r="IT33"/>
      <c r="IU33"/>
      <c r="IV33"/>
    </row>
    <row r="34" spans="1:256" s="27" customFormat="1" ht="12">
      <c r="A34"/>
      <c r="B34" s="57" t="s">
        <v>87</v>
      </c>
      <c r="C34" s="58">
        <v>49705.45</v>
      </c>
      <c r="D34" s="58"/>
      <c r="E34" s="58"/>
      <c r="F34" s="58"/>
      <c r="G34" s="58">
        <f>32791.04+43695.97</f>
        <v>76487.01000000001</v>
      </c>
      <c r="H34" s="58">
        <f>G34-C34</f>
        <v>26781.560000000012</v>
      </c>
      <c r="I34" s="59"/>
      <c r="IT34"/>
      <c r="IU34"/>
      <c r="IV34"/>
    </row>
    <row r="35" spans="1:256" s="27" customFormat="1" ht="12">
      <c r="A35"/>
      <c r="B35" s="57" t="s">
        <v>88</v>
      </c>
      <c r="C35" s="58">
        <v>1434530.47</v>
      </c>
      <c r="D35" s="58"/>
      <c r="E35" s="58"/>
      <c r="F35" s="58"/>
      <c r="G35" s="58">
        <f>132302.98+1154150.23</f>
        <v>1286453.21</v>
      </c>
      <c r="H35" s="58">
        <f>G35-C35</f>
        <v>-148077.26</v>
      </c>
      <c r="I35" s="59"/>
      <c r="IT35"/>
      <c r="IU35"/>
      <c r="IV35"/>
    </row>
    <row r="36" spans="1:256" s="27" customFormat="1" ht="12">
      <c r="A36"/>
      <c r="B36" s="57" t="s">
        <v>89</v>
      </c>
      <c r="C36" s="58">
        <v>399332.4</v>
      </c>
      <c r="D36" s="58"/>
      <c r="E36" s="58"/>
      <c r="F36" s="58"/>
      <c r="G36" s="58">
        <f>399332.4+387240.66</f>
        <v>786573.06</v>
      </c>
      <c r="H36" s="58">
        <f>G36-C36</f>
        <v>387240.66000000003</v>
      </c>
      <c r="I36" s="59"/>
      <c r="IT36"/>
      <c r="IU36"/>
      <c r="IV36"/>
    </row>
    <row r="37" spans="1:256" s="27" customFormat="1" ht="12">
      <c r="A37"/>
      <c r="B37" s="57" t="s">
        <v>90</v>
      </c>
      <c r="C37" s="58">
        <v>41586.42</v>
      </c>
      <c r="D37" s="58"/>
      <c r="E37" s="58"/>
      <c r="F37" s="58"/>
      <c r="G37" s="58">
        <f>24779.42+41162</f>
        <v>65941.42</v>
      </c>
      <c r="H37" s="58">
        <f>G37-C37</f>
        <v>24355</v>
      </c>
      <c r="I37" s="59"/>
      <c r="IT37"/>
      <c r="IU37"/>
      <c r="IV37"/>
    </row>
    <row r="38" spans="1:256" s="27" customFormat="1" ht="12">
      <c r="A38"/>
      <c r="B38" s="57" t="s">
        <v>91</v>
      </c>
      <c r="C38" s="58">
        <v>68254.03</v>
      </c>
      <c r="D38" s="58"/>
      <c r="E38" s="58"/>
      <c r="F38" s="58"/>
      <c r="G38" s="58">
        <f>52321.5+47751</f>
        <v>100072.5</v>
      </c>
      <c r="H38" s="58">
        <f>G38-C38</f>
        <v>31818.47</v>
      </c>
      <c r="I38" s="59"/>
      <c r="IT38"/>
      <c r="IU38"/>
      <c r="IV38"/>
    </row>
    <row r="39" spans="1:256" s="27" customFormat="1" ht="12">
      <c r="A39"/>
      <c r="B39" s="57" t="s">
        <v>92</v>
      </c>
      <c r="C39" s="58">
        <v>40980.92</v>
      </c>
      <c r="D39" s="58"/>
      <c r="E39" s="58"/>
      <c r="F39" s="58"/>
      <c r="G39" s="58">
        <f>28336.06+37300.6</f>
        <v>65636.66</v>
      </c>
      <c r="H39" s="58">
        <f>G39-C39</f>
        <v>24655.740000000005</v>
      </c>
      <c r="I39" s="59"/>
      <c r="IT39"/>
      <c r="IU39"/>
      <c r="IV39"/>
    </row>
    <row r="40" spans="1:256" s="27" customFormat="1" ht="12">
      <c r="A40"/>
      <c r="B40" s="57" t="s">
        <v>93</v>
      </c>
      <c r="C40" s="58">
        <v>68608.78</v>
      </c>
      <c r="D40" s="58"/>
      <c r="E40" s="58"/>
      <c r="F40" s="58"/>
      <c r="G40" s="58">
        <f>68938.78+5451.8</f>
        <v>74390.58</v>
      </c>
      <c r="H40" s="58">
        <f>G40-C40</f>
        <v>5781.800000000003</v>
      </c>
      <c r="I40" s="59"/>
      <c r="IT40"/>
      <c r="IU40"/>
      <c r="IV40"/>
    </row>
    <row r="41" spans="1:256" s="27" customFormat="1" ht="12">
      <c r="A41"/>
      <c r="B41" s="57" t="s">
        <v>94</v>
      </c>
      <c r="C41" s="58">
        <v>14426</v>
      </c>
      <c r="D41" s="58"/>
      <c r="E41" s="58"/>
      <c r="F41" s="58"/>
      <c r="G41" s="58">
        <f>14426+6232</f>
        <v>20658</v>
      </c>
      <c r="H41" s="58">
        <f>G41-C41</f>
        <v>6232</v>
      </c>
      <c r="I41" s="59"/>
      <c r="IT41"/>
      <c r="IU41"/>
      <c r="IV41"/>
    </row>
    <row r="42" spans="1:256" s="27" customFormat="1" ht="12">
      <c r="A42"/>
      <c r="B42" s="57" t="s">
        <v>95</v>
      </c>
      <c r="C42" s="58">
        <v>0</v>
      </c>
      <c r="D42" s="58"/>
      <c r="E42" s="58"/>
      <c r="F42" s="58"/>
      <c r="G42" s="58">
        <v>2250</v>
      </c>
      <c r="H42" s="58">
        <f>G42-C42</f>
        <v>2250</v>
      </c>
      <c r="I42" s="59"/>
      <c r="IT42"/>
      <c r="IU42"/>
      <c r="IV42"/>
    </row>
    <row r="43" spans="1:256" s="27" customFormat="1" ht="12">
      <c r="A43"/>
      <c r="B43" s="57" t="s">
        <v>96</v>
      </c>
      <c r="C43" s="58">
        <v>3323779.78</v>
      </c>
      <c r="D43" s="58"/>
      <c r="E43" s="58"/>
      <c r="F43" s="58"/>
      <c r="G43" s="58">
        <f>3138086.31+14793381.8</f>
        <v>17931468.11</v>
      </c>
      <c r="H43" s="58">
        <f>G43-C43</f>
        <v>14607688.33</v>
      </c>
      <c r="I43" s="59"/>
      <c r="IT43"/>
      <c r="IU43"/>
      <c r="IV43"/>
    </row>
    <row r="44" spans="1:256" s="27" customFormat="1" ht="12">
      <c r="A44"/>
      <c r="B44" s="57" t="s">
        <v>97</v>
      </c>
      <c r="C44" s="58">
        <v>6421941.21</v>
      </c>
      <c r="D44" s="58"/>
      <c r="E44" s="58"/>
      <c r="F44" s="58"/>
      <c r="G44" s="58">
        <f>2357862.97+8375.99</f>
        <v>2366238.9600000004</v>
      </c>
      <c r="H44" s="58">
        <f>G44-C44</f>
        <v>-4055702.2499999995</v>
      </c>
      <c r="I44" s="59"/>
      <c r="IT44"/>
      <c r="IU44"/>
      <c r="IV44"/>
    </row>
    <row r="45" spans="1:256" s="27" customFormat="1" ht="12">
      <c r="A45"/>
      <c r="B45" s="57" t="s">
        <v>98</v>
      </c>
      <c r="C45" s="58">
        <v>15895944.17</v>
      </c>
      <c r="D45" s="58"/>
      <c r="E45" s="58"/>
      <c r="F45" s="58"/>
      <c r="G45" s="58">
        <f>17098944.98+3870037.88</f>
        <v>20968982.86</v>
      </c>
      <c r="H45" s="58">
        <f>G45-C45</f>
        <v>5073038.6899999995</v>
      </c>
      <c r="I45" s="59"/>
      <c r="IT45"/>
      <c r="IU45"/>
      <c r="IV45"/>
    </row>
    <row r="46" spans="1:256" s="27" customFormat="1" ht="12">
      <c r="A46"/>
      <c r="B46" s="57" t="s">
        <v>99</v>
      </c>
      <c r="C46" s="58">
        <v>0</v>
      </c>
      <c r="D46" s="58"/>
      <c r="E46" s="58"/>
      <c r="F46" s="58"/>
      <c r="G46" s="58">
        <v>615121.19</v>
      </c>
      <c r="H46" s="58"/>
      <c r="I46" s="59"/>
      <c r="IT46"/>
      <c r="IU46"/>
      <c r="IV46"/>
    </row>
    <row r="47" spans="1:256" s="27" customFormat="1" ht="12">
      <c r="A47"/>
      <c r="B47" s="57" t="s">
        <v>100</v>
      </c>
      <c r="C47" s="58">
        <v>1116417.1</v>
      </c>
      <c r="D47" s="58"/>
      <c r="E47" s="58"/>
      <c r="F47" s="58"/>
      <c r="G47" s="58">
        <v>1116417.1</v>
      </c>
      <c r="H47" s="58">
        <f>G47-C47</f>
        <v>0</v>
      </c>
      <c r="I47" s="59"/>
      <c r="IT47"/>
      <c r="IU47"/>
      <c r="IV47"/>
    </row>
    <row r="48" spans="1:256" s="27" customFormat="1" ht="12">
      <c r="A48"/>
      <c r="B48" s="57" t="s">
        <v>101</v>
      </c>
      <c r="C48" s="58">
        <v>294182.94</v>
      </c>
      <c r="D48" s="58"/>
      <c r="E48" s="58"/>
      <c r="F48" s="58"/>
      <c r="G48" s="58">
        <f>8406.22+557617.65</f>
        <v>566023.87</v>
      </c>
      <c r="H48" s="58">
        <f>G48-C48</f>
        <v>271840.93</v>
      </c>
      <c r="I48" s="59"/>
      <c r="IT48"/>
      <c r="IU48"/>
      <c r="IV48"/>
    </row>
    <row r="49" spans="1:256" s="27" customFormat="1" ht="12">
      <c r="A49"/>
      <c r="B49" s="57" t="s">
        <v>102</v>
      </c>
      <c r="C49" s="58">
        <v>561514.4</v>
      </c>
      <c r="D49" s="58"/>
      <c r="E49" s="58"/>
      <c r="F49" s="58"/>
      <c r="G49" s="58">
        <v>561514.4</v>
      </c>
      <c r="H49" s="58">
        <f>G49-C49</f>
        <v>0</v>
      </c>
      <c r="I49" s="59"/>
      <c r="IT49"/>
      <c r="IU49"/>
      <c r="IV49"/>
    </row>
    <row r="50" spans="1:256" s="27" customFormat="1" ht="12">
      <c r="A50"/>
      <c r="B50" s="57" t="s">
        <v>103</v>
      </c>
      <c r="C50" s="58">
        <v>12215.55</v>
      </c>
      <c r="D50" s="58"/>
      <c r="E50" s="58"/>
      <c r="F50" s="58"/>
      <c r="G50" s="58">
        <v>12215.55</v>
      </c>
      <c r="H50" s="58">
        <f>G50-C50</f>
        <v>0</v>
      </c>
      <c r="I50" s="59"/>
      <c r="IT50"/>
      <c r="IU50"/>
      <c r="IV50"/>
    </row>
    <row r="51" spans="1:256" s="27" customFormat="1" ht="12">
      <c r="A51"/>
      <c r="B51" s="57" t="s">
        <v>104</v>
      </c>
      <c r="C51" s="58">
        <v>85095.31</v>
      </c>
      <c r="D51" s="58"/>
      <c r="E51" s="58"/>
      <c r="F51" s="58"/>
      <c r="G51" s="58">
        <v>85095.31</v>
      </c>
      <c r="H51" s="58">
        <f>G51-C51</f>
        <v>0</v>
      </c>
      <c r="I51" s="59"/>
      <c r="IT51"/>
      <c r="IU51"/>
      <c r="IV51"/>
    </row>
    <row r="52" spans="1:256" s="27" customFormat="1" ht="12">
      <c r="A52"/>
      <c r="B52" s="60" t="s">
        <v>105</v>
      </c>
      <c r="C52" s="61">
        <f>SUM(C4:C51)</f>
        <v>49300501.79</v>
      </c>
      <c r="D52" s="58"/>
      <c r="E52" s="58"/>
      <c r="F52" s="58"/>
      <c r="G52" s="61">
        <f>SUM(G4:G51)</f>
        <v>79085301.63</v>
      </c>
      <c r="H52" s="62">
        <f>SUM(H4:H51)</f>
        <v>29169678.649999995</v>
      </c>
      <c r="I52" s="61">
        <f>G52</f>
        <v>79085301.63</v>
      </c>
      <c r="IT52"/>
      <c r="IU52"/>
      <c r="IV52"/>
    </row>
    <row r="53" spans="1:256" s="27" customFormat="1" ht="12">
      <c r="A53"/>
      <c r="IT53"/>
      <c r="IU53"/>
      <c r="IV53"/>
    </row>
    <row r="54" spans="1:256" s="27" customFormat="1" ht="12">
      <c r="A54"/>
      <c r="B54" s="63" t="s">
        <v>106</v>
      </c>
      <c r="C54" s="63"/>
      <c r="G54" s="64" t="s">
        <v>107</v>
      </c>
      <c r="IT54"/>
      <c r="IU54"/>
      <c r="IV54"/>
    </row>
    <row r="55" spans="1:256" s="27" customFormat="1" ht="12">
      <c r="A55"/>
      <c r="B55" s="65" t="s">
        <v>108</v>
      </c>
      <c r="C55" s="66"/>
      <c r="G55" s="67">
        <v>1384767.33</v>
      </c>
      <c r="IS55"/>
      <c r="IT55"/>
      <c r="IU55"/>
      <c r="IV55"/>
    </row>
    <row r="56" spans="1:256" s="27" customFormat="1" ht="12">
      <c r="A56"/>
      <c r="B56" s="68" t="s">
        <v>109</v>
      </c>
      <c r="C56" s="69"/>
      <c r="G56" s="70">
        <v>622801.73</v>
      </c>
      <c r="IS56"/>
      <c r="IT56"/>
      <c r="IU56"/>
      <c r="IV56"/>
    </row>
    <row r="57" spans="1:256" s="27" customFormat="1" ht="12">
      <c r="A57"/>
      <c r="B57" s="68" t="s">
        <v>110</v>
      </c>
      <c r="C57" s="71"/>
      <c r="G57" s="70">
        <v>1215964.46</v>
      </c>
      <c r="IS57"/>
      <c r="IT57"/>
      <c r="IU57"/>
      <c r="IV57"/>
    </row>
    <row r="58" spans="1:256" s="27" customFormat="1" ht="12">
      <c r="A58"/>
      <c r="B58" s="68" t="s">
        <v>111</v>
      </c>
      <c r="C58" s="71"/>
      <c r="G58" s="70">
        <v>16589.76</v>
      </c>
      <c r="IS58"/>
      <c r="IT58"/>
      <c r="IU58"/>
      <c r="IV58"/>
    </row>
    <row r="59" spans="1:256" s="27" customFormat="1" ht="12">
      <c r="A59"/>
      <c r="B59" s="68" t="s">
        <v>112</v>
      </c>
      <c r="C59" s="71"/>
      <c r="G59" s="70">
        <v>3309951.28</v>
      </c>
      <c r="IS59"/>
      <c r="IT59"/>
      <c r="IU59"/>
      <c r="IV59"/>
    </row>
    <row r="60" spans="1:256" s="27" customFormat="1" ht="12">
      <c r="A60"/>
      <c r="B60" s="68" t="s">
        <v>113</v>
      </c>
      <c r="C60" s="71"/>
      <c r="G60" s="70">
        <v>515971.81</v>
      </c>
      <c r="IS60"/>
      <c r="IT60"/>
      <c r="IU60"/>
      <c r="IV60"/>
    </row>
    <row r="61" spans="1:256" s="27" customFormat="1" ht="12">
      <c r="A61"/>
      <c r="B61" s="68" t="s">
        <v>114</v>
      </c>
      <c r="C61" s="71"/>
      <c r="G61" s="70">
        <v>2576297.25</v>
      </c>
      <c r="IS61"/>
      <c r="IT61"/>
      <c r="IU61"/>
      <c r="IV61"/>
    </row>
    <row r="62" spans="1:256" s="27" customFormat="1" ht="12">
      <c r="A62"/>
      <c r="B62" s="68" t="s">
        <v>115</v>
      </c>
      <c r="C62" s="71"/>
      <c r="G62" s="70">
        <v>132159.88</v>
      </c>
      <c r="IT62"/>
      <c r="IU62"/>
      <c r="IV62"/>
    </row>
    <row r="63" spans="1:256" s="27" customFormat="1" ht="12">
      <c r="A63"/>
      <c r="B63" s="68" t="s">
        <v>116</v>
      </c>
      <c r="C63" s="71"/>
      <c r="G63" s="70">
        <v>0</v>
      </c>
      <c r="IT63"/>
      <c r="IU63"/>
      <c r="IV63"/>
    </row>
    <row r="64" spans="1:256" s="27" customFormat="1" ht="12">
      <c r="A64"/>
      <c r="B64" s="68" t="s">
        <v>117</v>
      </c>
      <c r="C64" s="69"/>
      <c r="G64" s="70">
        <v>2773.86</v>
      </c>
      <c r="IT64"/>
      <c r="IU64"/>
      <c r="IV64"/>
    </row>
    <row r="65" spans="1:256" s="27" customFormat="1" ht="12">
      <c r="A65"/>
      <c r="B65" s="68" t="s">
        <v>118</v>
      </c>
      <c r="C65" s="69"/>
      <c r="G65" s="70">
        <v>683270.45</v>
      </c>
      <c r="IT65"/>
      <c r="IU65"/>
      <c r="IV65"/>
    </row>
    <row r="66" spans="1:256" s="27" customFormat="1" ht="12">
      <c r="A66"/>
      <c r="B66" s="68" t="s">
        <v>119</v>
      </c>
      <c r="C66" s="69"/>
      <c r="G66" s="70">
        <v>73532</v>
      </c>
      <c r="IT66"/>
      <c r="IU66"/>
      <c r="IV66"/>
    </row>
    <row r="67" spans="1:256" s="27" customFormat="1" ht="12">
      <c r="A67"/>
      <c r="B67" s="68" t="s">
        <v>120</v>
      </c>
      <c r="C67" s="69"/>
      <c r="G67" s="70">
        <v>1188.01</v>
      </c>
      <c r="IT67"/>
      <c r="IU67"/>
      <c r="IV67"/>
    </row>
    <row r="68" spans="1:256" s="27" customFormat="1" ht="12">
      <c r="A68"/>
      <c r="B68" s="68" t="s">
        <v>121</v>
      </c>
      <c r="C68" s="69"/>
      <c r="G68" s="70">
        <v>234.99</v>
      </c>
      <c r="IT68"/>
      <c r="IU68"/>
      <c r="IV68"/>
    </row>
    <row r="69" spans="1:256" s="27" customFormat="1" ht="12">
      <c r="A69"/>
      <c r="B69" s="68" t="s">
        <v>122</v>
      </c>
      <c r="C69" s="69"/>
      <c r="G69" s="70">
        <v>12207.38</v>
      </c>
      <c r="IT69"/>
      <c r="IU69"/>
      <c r="IV69"/>
    </row>
    <row r="70" spans="1:256" s="27" customFormat="1" ht="12">
      <c r="A70"/>
      <c r="B70" s="68" t="s">
        <v>123</v>
      </c>
      <c r="C70" s="69"/>
      <c r="G70" s="70">
        <v>1052037.42</v>
      </c>
      <c r="IT70"/>
      <c r="IU70"/>
      <c r="IV70"/>
    </row>
    <row r="71" spans="1:256" s="27" customFormat="1" ht="12">
      <c r="A71"/>
      <c r="B71" s="68" t="s">
        <v>124</v>
      </c>
      <c r="C71" s="69"/>
      <c r="G71" s="70">
        <v>39717.5</v>
      </c>
      <c r="IT71"/>
      <c r="IU71"/>
      <c r="IV71"/>
    </row>
    <row r="72" spans="1:256" s="27" customFormat="1" ht="12">
      <c r="A72"/>
      <c r="B72" s="68" t="s">
        <v>125</v>
      </c>
      <c r="C72" s="69"/>
      <c r="G72" s="70">
        <v>1533.1</v>
      </c>
      <c r="IT72"/>
      <c r="IU72"/>
      <c r="IV72"/>
    </row>
    <row r="73" spans="1:256" s="27" customFormat="1" ht="12">
      <c r="A73"/>
      <c r="B73" s="68" t="s">
        <v>126</v>
      </c>
      <c r="C73" s="69"/>
      <c r="G73" s="70">
        <v>9450.45</v>
      </c>
      <c r="IT73"/>
      <c r="IU73"/>
      <c r="IV73"/>
    </row>
    <row r="74" spans="1:256" s="27" customFormat="1" ht="12">
      <c r="A74"/>
      <c r="B74" s="68" t="s">
        <v>127</v>
      </c>
      <c r="C74" s="69"/>
      <c r="G74" s="70">
        <v>3598931.56</v>
      </c>
      <c r="IT74"/>
      <c r="IU74"/>
      <c r="IV74"/>
    </row>
    <row r="75" spans="1:256" s="27" customFormat="1" ht="12">
      <c r="A75"/>
      <c r="B75" s="68" t="s">
        <v>128</v>
      </c>
      <c r="C75" s="69"/>
      <c r="G75" s="70">
        <v>47.02</v>
      </c>
      <c r="IT75"/>
      <c r="IU75"/>
      <c r="IV75"/>
    </row>
    <row r="76" spans="1:256" s="27" customFormat="1" ht="12">
      <c r="A76"/>
      <c r="B76" s="68" t="s">
        <v>129</v>
      </c>
      <c r="C76" s="69"/>
      <c r="G76" s="70">
        <v>20848.1</v>
      </c>
      <c r="IT76"/>
      <c r="IU76"/>
      <c r="IV76"/>
    </row>
    <row r="77" spans="1:256" s="27" customFormat="1" ht="12">
      <c r="A77"/>
      <c r="B77" s="68" t="s">
        <v>130</v>
      </c>
      <c r="C77" s="69"/>
      <c r="G77" s="70">
        <v>34181.88</v>
      </c>
      <c r="IT77"/>
      <c r="IU77"/>
      <c r="IV77"/>
    </row>
    <row r="78" spans="1:256" s="27" customFormat="1" ht="12">
      <c r="A78"/>
      <c r="B78" s="68" t="s">
        <v>131</v>
      </c>
      <c r="C78" s="69"/>
      <c r="G78" s="70">
        <v>763.29</v>
      </c>
      <c r="IT78"/>
      <c r="IU78"/>
      <c r="IV78"/>
    </row>
    <row r="79" spans="1:256" s="27" customFormat="1" ht="12">
      <c r="A79"/>
      <c r="B79" s="68" t="s">
        <v>132</v>
      </c>
      <c r="C79" s="69"/>
      <c r="G79" s="70">
        <v>0</v>
      </c>
      <c r="IT79"/>
      <c r="IU79"/>
      <c r="IV79"/>
    </row>
    <row r="80" spans="1:256" s="27" customFormat="1" ht="12">
      <c r="A80"/>
      <c r="B80" s="68" t="s">
        <v>133</v>
      </c>
      <c r="C80" s="69"/>
      <c r="G80" s="70">
        <v>168284.25</v>
      </c>
      <c r="IT80"/>
      <c r="IU80"/>
      <c r="IV80"/>
    </row>
    <row r="81" spans="1:256" s="27" customFormat="1" ht="12">
      <c r="A81"/>
      <c r="B81" s="68" t="s">
        <v>134</v>
      </c>
      <c r="C81" s="69"/>
      <c r="G81" s="70">
        <v>165438.59</v>
      </c>
      <c r="IT81"/>
      <c r="IU81"/>
      <c r="IV81"/>
    </row>
    <row r="82" spans="1:256" s="27" customFormat="1" ht="12">
      <c r="A82"/>
      <c r="B82" s="68" t="s">
        <v>135</v>
      </c>
      <c r="C82" s="69"/>
      <c r="G82" s="70">
        <v>3182033</v>
      </c>
      <c r="IT82"/>
      <c r="IU82"/>
      <c r="IV82"/>
    </row>
    <row r="83" spans="1:256" s="27" customFormat="1" ht="12">
      <c r="A83"/>
      <c r="B83" s="68" t="s">
        <v>136</v>
      </c>
      <c r="C83" s="72"/>
      <c r="G83" s="70">
        <v>25681.29</v>
      </c>
      <c r="IT83"/>
      <c r="IU83"/>
      <c r="IV83"/>
    </row>
    <row r="84" spans="1:256" s="27" customFormat="1" ht="12">
      <c r="A84"/>
      <c r="B84" s="68" t="s">
        <v>137</v>
      </c>
      <c r="C84" s="69"/>
      <c r="G84" s="70">
        <v>4616</v>
      </c>
      <c r="IT84"/>
      <c r="IU84"/>
      <c r="IV84"/>
    </row>
    <row r="85" spans="1:256" s="27" customFormat="1" ht="12">
      <c r="A85"/>
      <c r="B85" s="68" t="s">
        <v>138</v>
      </c>
      <c r="C85" s="69"/>
      <c r="G85" s="70">
        <v>39129.07</v>
      </c>
      <c r="IT85"/>
      <c r="IU85"/>
      <c r="IV85"/>
    </row>
    <row r="86" spans="1:256" s="27" customFormat="1" ht="12">
      <c r="A86"/>
      <c r="B86" s="68" t="s">
        <v>139</v>
      </c>
      <c r="C86" s="69"/>
      <c r="G86" s="70">
        <v>0</v>
      </c>
      <c r="IT86"/>
      <c r="IU86"/>
      <c r="IV86"/>
    </row>
    <row r="87" spans="1:256" s="27" customFormat="1" ht="12">
      <c r="A87"/>
      <c r="B87" s="68" t="s">
        <v>140</v>
      </c>
      <c r="C87" s="69"/>
      <c r="G87" s="70">
        <v>269379.07</v>
      </c>
      <c r="IT87"/>
      <c r="IU87"/>
      <c r="IV87"/>
    </row>
    <row r="88" spans="1:256" s="27" customFormat="1" ht="12">
      <c r="A88"/>
      <c r="B88" s="68" t="s">
        <v>141</v>
      </c>
      <c r="C88" s="69"/>
      <c r="G88" s="70">
        <v>247.22</v>
      </c>
      <c r="IT88"/>
      <c r="IU88"/>
      <c r="IV88"/>
    </row>
    <row r="89" spans="1:256" s="27" customFormat="1" ht="12">
      <c r="A89"/>
      <c r="B89" s="68" t="s">
        <v>142</v>
      </c>
      <c r="C89" s="69"/>
      <c r="G89" s="70">
        <v>14280.15</v>
      </c>
      <c r="IT89"/>
      <c r="IU89"/>
      <c r="IV89"/>
    </row>
    <row r="90" spans="1:256" s="27" customFormat="1" ht="12">
      <c r="A90"/>
      <c r="B90" s="68" t="s">
        <v>143</v>
      </c>
      <c r="C90" s="69"/>
      <c r="G90" s="70">
        <v>13601.57</v>
      </c>
      <c r="IT90"/>
      <c r="IU90"/>
      <c r="IV90"/>
    </row>
    <row r="91" spans="1:256" s="27" customFormat="1" ht="12">
      <c r="A91"/>
      <c r="B91" s="68" t="s">
        <v>144</v>
      </c>
      <c r="C91" s="69"/>
      <c r="G91" s="70">
        <v>0</v>
      </c>
      <c r="IT91"/>
      <c r="IU91"/>
      <c r="IV91"/>
    </row>
    <row r="92" spans="1:256" s="27" customFormat="1" ht="12">
      <c r="A92"/>
      <c r="B92" s="68" t="s">
        <v>145</v>
      </c>
      <c r="C92" s="69"/>
      <c r="G92" s="70">
        <v>8171.38</v>
      </c>
      <c r="IT92"/>
      <c r="IU92"/>
      <c r="IV92"/>
    </row>
    <row r="93" spans="1:256" s="27" customFormat="1" ht="12">
      <c r="A93"/>
      <c r="B93" s="68" t="s">
        <v>146</v>
      </c>
      <c r="C93" s="69"/>
      <c r="G93" s="70">
        <v>7532.32</v>
      </c>
      <c r="IT93"/>
      <c r="IU93"/>
      <c r="IV93"/>
    </row>
    <row r="94" spans="1:256" s="27" customFormat="1" ht="12">
      <c r="A94"/>
      <c r="B94" s="68" t="s">
        <v>147</v>
      </c>
      <c r="C94" s="72"/>
      <c r="G94" s="70">
        <v>6748.15</v>
      </c>
      <c r="IT94"/>
      <c r="IU94"/>
      <c r="IV94"/>
    </row>
    <row r="95" spans="1:256" s="27" customFormat="1" ht="12">
      <c r="A95"/>
      <c r="B95" s="68" t="s">
        <v>148</v>
      </c>
      <c r="C95" s="69"/>
      <c r="G95" s="70">
        <v>19671</v>
      </c>
      <c r="IT95"/>
      <c r="IU95"/>
      <c r="IV95"/>
    </row>
    <row r="96" spans="1:256" s="27" customFormat="1" ht="12">
      <c r="A96"/>
      <c r="B96" s="68" t="s">
        <v>149</v>
      </c>
      <c r="C96" s="69"/>
      <c r="G96" s="70">
        <v>0</v>
      </c>
      <c r="IT96"/>
      <c r="IU96"/>
      <c r="IV96"/>
    </row>
    <row r="97" spans="1:256" s="27" customFormat="1" ht="12">
      <c r="A97"/>
      <c r="B97" s="68" t="s">
        <v>150</v>
      </c>
      <c r="C97" s="69"/>
      <c r="G97" s="70">
        <v>29518.68</v>
      </c>
      <c r="IT97"/>
      <c r="IU97"/>
      <c r="IV97"/>
    </row>
    <row r="98" spans="1:256" s="27" customFormat="1" ht="12">
      <c r="A98"/>
      <c r="B98" s="68" t="s">
        <v>151</v>
      </c>
      <c r="C98" s="69"/>
      <c r="G98" s="70">
        <v>22906.46</v>
      </c>
      <c r="IT98"/>
      <c r="IU98"/>
      <c r="IV98"/>
    </row>
    <row r="99" spans="1:256" s="27" customFormat="1" ht="12">
      <c r="A99"/>
      <c r="B99" s="68" t="s">
        <v>152</v>
      </c>
      <c r="C99" s="69"/>
      <c r="G99" s="70">
        <v>0</v>
      </c>
      <c r="IT99"/>
      <c r="IU99"/>
      <c r="IV99"/>
    </row>
    <row r="100" spans="1:256" s="27" customFormat="1" ht="12">
      <c r="A100"/>
      <c r="B100" s="68" t="s">
        <v>153</v>
      </c>
      <c r="C100" s="69"/>
      <c r="G100" s="70">
        <v>21544.97</v>
      </c>
      <c r="IT100"/>
      <c r="IU100"/>
      <c r="IV100"/>
    </row>
    <row r="101" spans="1:256" s="27" customFormat="1" ht="12">
      <c r="A101"/>
      <c r="B101" s="68" t="s">
        <v>154</v>
      </c>
      <c r="C101" s="69"/>
      <c r="G101" s="70">
        <v>2864</v>
      </c>
      <c r="IT101"/>
      <c r="IU101"/>
      <c r="IV101"/>
    </row>
    <row r="102" spans="1:256" s="27" customFormat="1" ht="12">
      <c r="A102"/>
      <c r="B102" s="68" t="s">
        <v>155</v>
      </c>
      <c r="C102" s="69"/>
      <c r="G102" s="70">
        <v>11634.88</v>
      </c>
      <c r="IT102"/>
      <c r="IU102"/>
      <c r="IV102"/>
    </row>
    <row r="103" spans="1:256" s="27" customFormat="1" ht="12">
      <c r="A103"/>
      <c r="B103" s="68" t="s">
        <v>156</v>
      </c>
      <c r="C103" s="69"/>
      <c r="G103" s="70">
        <v>19160.9</v>
      </c>
      <c r="IT103"/>
      <c r="IU103"/>
      <c r="IV103"/>
    </row>
    <row r="104" spans="1:256" s="27" customFormat="1" ht="12">
      <c r="A104"/>
      <c r="B104" s="68" t="s">
        <v>157</v>
      </c>
      <c r="C104" s="69"/>
      <c r="G104" s="70">
        <v>0</v>
      </c>
      <c r="IT104"/>
      <c r="IU104"/>
      <c r="IV104"/>
    </row>
    <row r="105" spans="1:256" s="27" customFormat="1" ht="12">
      <c r="A105"/>
      <c r="B105" s="68" t="s">
        <v>158</v>
      </c>
      <c r="C105" s="69"/>
      <c r="G105" s="70">
        <v>181575</v>
      </c>
      <c r="IT105"/>
      <c r="IU105"/>
      <c r="IV105"/>
    </row>
    <row r="106" spans="1:256" s="27" customFormat="1" ht="12">
      <c r="A106"/>
      <c r="B106" s="68" t="s">
        <v>159</v>
      </c>
      <c r="C106" s="69"/>
      <c r="G106" s="70">
        <v>0</v>
      </c>
      <c r="IT106"/>
      <c r="IU106"/>
      <c r="IV106"/>
    </row>
    <row r="107" spans="1:256" s="27" customFormat="1" ht="12">
      <c r="A107"/>
      <c r="B107" s="68" t="s">
        <v>160</v>
      </c>
      <c r="C107" s="69"/>
      <c r="G107" s="70">
        <v>9965</v>
      </c>
      <c r="IT107"/>
      <c r="IU107"/>
      <c r="IV107"/>
    </row>
    <row r="108" spans="1:256" s="27" customFormat="1" ht="12">
      <c r="A108"/>
      <c r="B108" s="68" t="s">
        <v>161</v>
      </c>
      <c r="C108" s="69"/>
      <c r="G108" s="70">
        <v>0</v>
      </c>
      <c r="IT108"/>
      <c r="IU108"/>
      <c r="IV108"/>
    </row>
    <row r="109" spans="1:256" s="27" customFormat="1" ht="12">
      <c r="A109"/>
      <c r="B109" s="68" t="s">
        <v>162</v>
      </c>
      <c r="C109" s="69"/>
      <c r="G109" s="70">
        <v>8.58</v>
      </c>
      <c r="IT109"/>
      <c r="IU109"/>
      <c r="IV109"/>
    </row>
    <row r="110" spans="1:256" s="27" customFormat="1" ht="12">
      <c r="A110"/>
      <c r="B110" s="68" t="s">
        <v>163</v>
      </c>
      <c r="C110" s="69"/>
      <c r="G110" s="70">
        <v>236929.9</v>
      </c>
      <c r="IT110"/>
      <c r="IU110"/>
      <c r="IV110"/>
    </row>
    <row r="111" spans="1:256" s="27" customFormat="1" ht="12">
      <c r="A111"/>
      <c r="B111" s="68" t="s">
        <v>164</v>
      </c>
      <c r="C111" s="69"/>
      <c r="G111" s="70">
        <v>0</v>
      </c>
      <c r="IT111"/>
      <c r="IU111"/>
      <c r="IV111"/>
    </row>
    <row r="112" spans="1:256" s="27" customFormat="1" ht="12">
      <c r="A112"/>
      <c r="B112" s="68" t="s">
        <v>165</v>
      </c>
      <c r="C112" s="69"/>
      <c r="G112" s="70">
        <v>218453.61</v>
      </c>
      <c r="IT112"/>
      <c r="IU112"/>
      <c r="IV112"/>
    </row>
    <row r="113" spans="1:256" s="27" customFormat="1" ht="12">
      <c r="A113"/>
      <c r="B113" s="68" t="s">
        <v>166</v>
      </c>
      <c r="C113" s="69"/>
      <c r="G113" s="70">
        <v>40951.88</v>
      </c>
      <c r="IT113"/>
      <c r="IU113"/>
      <c r="IV113"/>
    </row>
    <row r="114" spans="1:256" s="27" customFormat="1" ht="12">
      <c r="A114"/>
      <c r="B114" s="68" t="s">
        <v>167</v>
      </c>
      <c r="C114" s="69"/>
      <c r="G114" s="70">
        <v>13575.3</v>
      </c>
      <c r="IT114"/>
      <c r="IU114"/>
      <c r="IV114"/>
    </row>
    <row r="115" spans="1:256" s="27" customFormat="1" ht="12">
      <c r="A115"/>
      <c r="B115" s="68" t="s">
        <v>168</v>
      </c>
      <c r="C115" s="69"/>
      <c r="G115" s="70">
        <v>51844.54</v>
      </c>
      <c r="IT115"/>
      <c r="IU115"/>
      <c r="IV115"/>
    </row>
    <row r="116" spans="1:256" s="27" customFormat="1" ht="12">
      <c r="A116"/>
      <c r="B116" s="68" t="s">
        <v>169</v>
      </c>
      <c r="C116" s="69"/>
      <c r="G116" s="70">
        <v>2614686.93</v>
      </c>
      <c r="IT116"/>
      <c r="IU116"/>
      <c r="IV116"/>
    </row>
    <row r="117" spans="1:256" s="27" customFormat="1" ht="12">
      <c r="A117"/>
      <c r="B117" s="68" t="s">
        <v>170</v>
      </c>
      <c r="C117" s="69"/>
      <c r="G117" s="70">
        <v>2975106.34</v>
      </c>
      <c r="IT117"/>
      <c r="IU117"/>
      <c r="IV117"/>
    </row>
    <row r="118" spans="1:256" s="27" customFormat="1" ht="12">
      <c r="A118"/>
      <c r="B118" s="68" t="s">
        <v>171</v>
      </c>
      <c r="C118" s="69"/>
      <c r="G118" s="70">
        <v>5013.3</v>
      </c>
      <c r="IT118"/>
      <c r="IU118"/>
      <c r="IV118"/>
    </row>
    <row r="119" spans="1:256" s="27" customFormat="1" ht="12">
      <c r="A119"/>
      <c r="B119" s="68" t="s">
        <v>172</v>
      </c>
      <c r="C119" s="69"/>
      <c r="G119" s="70">
        <v>83581.21</v>
      </c>
      <c r="IT119"/>
      <c r="IU119"/>
      <c r="IV119"/>
    </row>
    <row r="120" spans="1:256" s="27" customFormat="1" ht="12">
      <c r="A120"/>
      <c r="B120" s="68" t="s">
        <v>173</v>
      </c>
      <c r="C120" s="69"/>
      <c r="G120" s="70">
        <v>26515.8</v>
      </c>
      <c r="IT120"/>
      <c r="IU120"/>
      <c r="IV120"/>
    </row>
    <row r="121" spans="1:256" s="27" customFormat="1" ht="12">
      <c r="A121"/>
      <c r="B121" s="68" t="s">
        <v>174</v>
      </c>
      <c r="C121" s="69"/>
      <c r="G121" s="70">
        <v>288681.46</v>
      </c>
      <c r="IT121"/>
      <c r="IU121"/>
      <c r="IV121"/>
    </row>
    <row r="122" spans="1:256" s="27" customFormat="1" ht="12">
      <c r="A122"/>
      <c r="B122" s="68" t="s">
        <v>175</v>
      </c>
      <c r="C122" s="69"/>
      <c r="G122" s="70">
        <v>0</v>
      </c>
      <c r="IT122"/>
      <c r="IU122"/>
      <c r="IV122"/>
    </row>
    <row r="123" spans="1:256" s="27" customFormat="1" ht="12">
      <c r="A123"/>
      <c r="B123" s="68" t="s">
        <v>176</v>
      </c>
      <c r="C123" s="69"/>
      <c r="G123" s="70">
        <v>250628.79</v>
      </c>
      <c r="IT123"/>
      <c r="IU123"/>
      <c r="IV123"/>
    </row>
    <row r="124" spans="1:256" s="27" customFormat="1" ht="12">
      <c r="A124"/>
      <c r="B124" s="68" t="s">
        <v>177</v>
      </c>
      <c r="C124" s="69"/>
      <c r="G124" s="70">
        <v>8986.24</v>
      </c>
      <c r="IT124"/>
      <c r="IU124"/>
      <c r="IV124"/>
    </row>
    <row r="125" spans="1:256" s="27" customFormat="1" ht="12">
      <c r="A125"/>
      <c r="B125" s="68" t="s">
        <v>178</v>
      </c>
      <c r="C125" s="69"/>
      <c r="G125" s="70">
        <v>960311.65</v>
      </c>
      <c r="IT125"/>
      <c r="IU125"/>
      <c r="IV125"/>
    </row>
    <row r="126" spans="1:256" s="27" customFormat="1" ht="12">
      <c r="A126"/>
      <c r="B126" s="68" t="s">
        <v>179</v>
      </c>
      <c r="C126" s="69"/>
      <c r="G126" s="70">
        <v>17825.44</v>
      </c>
      <c r="IT126"/>
      <c r="IU126"/>
      <c r="IV126"/>
    </row>
    <row r="127" spans="1:256" s="27" customFormat="1" ht="12">
      <c r="A127"/>
      <c r="B127" s="68" t="s">
        <v>180</v>
      </c>
      <c r="C127" s="69"/>
      <c r="G127" s="70">
        <v>0.9</v>
      </c>
      <c r="IT127"/>
      <c r="IU127"/>
      <c r="IV127"/>
    </row>
    <row r="128" spans="1:256" s="27" customFormat="1" ht="12">
      <c r="A128"/>
      <c r="B128" s="68" t="s">
        <v>181</v>
      </c>
      <c r="C128" s="69"/>
      <c r="G128" s="70">
        <v>5359.65</v>
      </c>
      <c r="IT128"/>
      <c r="IU128"/>
      <c r="IV128"/>
    </row>
    <row r="129" spans="1:256" s="27" customFormat="1" ht="12">
      <c r="A129"/>
      <c r="B129" s="68" t="s">
        <v>182</v>
      </c>
      <c r="C129" s="69"/>
      <c r="G129" s="70">
        <v>76398.15</v>
      </c>
      <c r="IT129"/>
      <c r="IU129"/>
      <c r="IV129"/>
    </row>
    <row r="130" spans="1:256" s="27" customFormat="1" ht="12">
      <c r="A130"/>
      <c r="B130" s="68" t="s">
        <v>183</v>
      </c>
      <c r="C130" s="69"/>
      <c r="G130" s="70">
        <v>370465.72</v>
      </c>
      <c r="IT130"/>
      <c r="IU130"/>
      <c r="IV130"/>
    </row>
    <row r="131" spans="1:256" s="27" customFormat="1" ht="12">
      <c r="A131"/>
      <c r="B131" s="68" t="s">
        <v>184</v>
      </c>
      <c r="C131" s="69"/>
      <c r="G131" s="70">
        <v>383008.44</v>
      </c>
      <c r="IT131"/>
      <c r="IU131"/>
      <c r="IV131"/>
    </row>
    <row r="132" spans="1:256" s="27" customFormat="1" ht="12">
      <c r="A132"/>
      <c r="B132" s="68" t="s">
        <v>185</v>
      </c>
      <c r="C132" s="69"/>
      <c r="G132" s="70">
        <v>53924.29</v>
      </c>
      <c r="IT132"/>
      <c r="IU132"/>
      <c r="IV132"/>
    </row>
    <row r="133" spans="1:256" s="27" customFormat="1" ht="12">
      <c r="A133"/>
      <c r="B133" s="68" t="s">
        <v>186</v>
      </c>
      <c r="C133" s="69"/>
      <c r="G133" s="70">
        <v>21632.9</v>
      </c>
      <c r="IT133"/>
      <c r="IU133"/>
      <c r="IV133"/>
    </row>
    <row r="134" spans="1:256" s="27" customFormat="1" ht="12">
      <c r="A134"/>
      <c r="B134" s="68" t="s">
        <v>187</v>
      </c>
      <c r="C134" s="69"/>
      <c r="G134" s="70">
        <v>12927.75</v>
      </c>
      <c r="IT134"/>
      <c r="IU134"/>
      <c r="IV134"/>
    </row>
    <row r="135" spans="1:256" s="27" customFormat="1" ht="12">
      <c r="A135"/>
      <c r="B135" s="68" t="s">
        <v>188</v>
      </c>
      <c r="C135" s="69"/>
      <c r="G135" s="70">
        <v>0</v>
      </c>
      <c r="IT135"/>
      <c r="IU135"/>
      <c r="IV135"/>
    </row>
    <row r="136" spans="1:256" s="27" customFormat="1" ht="12">
      <c r="A136"/>
      <c r="B136" s="68" t="s">
        <v>189</v>
      </c>
      <c r="C136" s="69"/>
      <c r="G136" s="70">
        <v>21956.1</v>
      </c>
      <c r="IT136"/>
      <c r="IU136"/>
      <c r="IV136"/>
    </row>
    <row r="137" spans="1:256" s="27" customFormat="1" ht="12">
      <c r="A137"/>
      <c r="B137" s="68" t="s">
        <v>190</v>
      </c>
      <c r="C137" s="69"/>
      <c r="G137" s="70">
        <v>0</v>
      </c>
      <c r="IT137"/>
      <c r="IU137"/>
      <c r="IV137"/>
    </row>
    <row r="138" spans="1:256" s="27" customFormat="1" ht="12">
      <c r="A138"/>
      <c r="B138" s="68" t="s">
        <v>191</v>
      </c>
      <c r="C138" s="69"/>
      <c r="G138" s="70">
        <v>14072.53</v>
      </c>
      <c r="IT138"/>
      <c r="IU138"/>
      <c r="IV138"/>
    </row>
    <row r="139" spans="1:256" s="27" customFormat="1" ht="12">
      <c r="A139"/>
      <c r="B139" s="68" t="s">
        <v>192</v>
      </c>
      <c r="C139" s="69"/>
      <c r="G139" s="70">
        <v>20784.29</v>
      </c>
      <c r="IT139"/>
      <c r="IU139"/>
      <c r="IV139"/>
    </row>
    <row r="140" spans="1:256" s="27" customFormat="1" ht="12">
      <c r="A140"/>
      <c r="B140" s="68" t="s">
        <v>193</v>
      </c>
      <c r="C140" s="69"/>
      <c r="G140" s="70">
        <v>11022.86</v>
      </c>
      <c r="IT140"/>
      <c r="IU140"/>
      <c r="IV140"/>
    </row>
    <row r="141" spans="1:256" s="27" customFormat="1" ht="12">
      <c r="A141"/>
      <c r="B141" s="68" t="s">
        <v>194</v>
      </c>
      <c r="C141" s="69"/>
      <c r="G141" s="70">
        <v>1739.91</v>
      </c>
      <c r="IT141"/>
      <c r="IU141"/>
      <c r="IV141"/>
    </row>
    <row r="142" spans="1:256" s="27" customFormat="1" ht="12">
      <c r="A142"/>
      <c r="B142" s="68" t="s">
        <v>195</v>
      </c>
      <c r="C142" s="69"/>
      <c r="G142" s="70">
        <v>0</v>
      </c>
      <c r="IT142"/>
      <c r="IU142"/>
      <c r="IV142"/>
    </row>
    <row r="143" spans="1:256" s="27" customFormat="1" ht="12">
      <c r="A143"/>
      <c r="B143" s="68" t="s">
        <v>196</v>
      </c>
      <c r="C143" s="69"/>
      <c r="G143" s="70">
        <v>0</v>
      </c>
      <c r="IT143"/>
      <c r="IU143"/>
      <c r="IV143"/>
    </row>
    <row r="144" spans="1:256" s="27" customFormat="1" ht="12">
      <c r="A144"/>
      <c r="B144" s="68" t="s">
        <v>197</v>
      </c>
      <c r="C144" s="69"/>
      <c r="G144" s="70">
        <v>0</v>
      </c>
      <c r="IT144"/>
      <c r="IU144"/>
      <c r="IV144"/>
    </row>
    <row r="145" spans="1:256" s="27" customFormat="1" ht="12">
      <c r="A145"/>
      <c r="B145" s="68" t="s">
        <v>198</v>
      </c>
      <c r="C145" s="69"/>
      <c r="G145" s="70">
        <v>0</v>
      </c>
      <c r="IT145"/>
      <c r="IU145"/>
      <c r="IV145"/>
    </row>
    <row r="146" spans="1:256" s="27" customFormat="1" ht="12">
      <c r="A146"/>
      <c r="B146" s="68" t="s">
        <v>199</v>
      </c>
      <c r="C146" s="69"/>
      <c r="G146" s="70">
        <v>0</v>
      </c>
      <c r="IT146"/>
      <c r="IU146"/>
      <c r="IV146"/>
    </row>
    <row r="147" spans="1:256" s="27" customFormat="1" ht="12">
      <c r="A147"/>
      <c r="B147" s="68" t="s">
        <v>200</v>
      </c>
      <c r="C147" s="69"/>
      <c r="G147" s="70">
        <v>21427.32</v>
      </c>
      <c r="IT147"/>
      <c r="IU147"/>
      <c r="IV147"/>
    </row>
    <row r="148" spans="1:256" s="27" customFormat="1" ht="12">
      <c r="A148"/>
      <c r="B148" s="68" t="s">
        <v>201</v>
      </c>
      <c r="C148" s="69"/>
      <c r="G148" s="70">
        <v>213608.25</v>
      </c>
      <c r="IT148"/>
      <c r="IU148"/>
      <c r="IV148"/>
    </row>
    <row r="149" spans="1:256" s="27" customFormat="1" ht="12">
      <c r="A149"/>
      <c r="B149" s="68" t="s">
        <v>202</v>
      </c>
      <c r="C149" s="69"/>
      <c r="G149" s="70">
        <v>668.02</v>
      </c>
      <c r="IT149"/>
      <c r="IU149"/>
      <c r="IV149"/>
    </row>
    <row r="150" spans="1:256" s="27" customFormat="1" ht="12">
      <c r="A150"/>
      <c r="B150" s="68" t="s">
        <v>203</v>
      </c>
      <c r="C150" s="69"/>
      <c r="G150" s="70">
        <v>6.68</v>
      </c>
      <c r="IT150"/>
      <c r="IU150"/>
      <c r="IV150"/>
    </row>
    <row r="151" spans="1:256" s="27" customFormat="1" ht="12">
      <c r="A151"/>
      <c r="B151" s="68" t="s">
        <v>204</v>
      </c>
      <c r="C151" s="69"/>
      <c r="G151" s="70">
        <v>300496.48</v>
      </c>
      <c r="IT151"/>
      <c r="IU151"/>
      <c r="IV151"/>
    </row>
    <row r="152" spans="1:256" s="27" customFormat="1" ht="12">
      <c r="A152"/>
      <c r="B152" s="68" t="s">
        <v>205</v>
      </c>
      <c r="C152" s="69"/>
      <c r="G152" s="70">
        <v>91.78</v>
      </c>
      <c r="IT152"/>
      <c r="IU152"/>
      <c r="IV152"/>
    </row>
    <row r="153" spans="1:256" s="27" customFormat="1" ht="12">
      <c r="A153"/>
      <c r="B153" s="68" t="s">
        <v>206</v>
      </c>
      <c r="C153" s="69"/>
      <c r="G153" s="70">
        <v>5228</v>
      </c>
      <c r="IT153"/>
      <c r="IU153"/>
      <c r="IV153"/>
    </row>
    <row r="154" spans="1:256" s="27" customFormat="1" ht="12">
      <c r="A154"/>
      <c r="B154" s="68" t="s">
        <v>207</v>
      </c>
      <c r="C154" s="69"/>
      <c r="G154" s="70">
        <v>14230.39</v>
      </c>
      <c r="IT154"/>
      <c r="IU154"/>
      <c r="IV154"/>
    </row>
    <row r="155" spans="1:256" s="27" customFormat="1" ht="12">
      <c r="A155"/>
      <c r="B155" s="68" t="s">
        <v>208</v>
      </c>
      <c r="C155" s="69"/>
      <c r="G155" s="70">
        <v>0.97</v>
      </c>
      <c r="IT155"/>
      <c r="IU155"/>
      <c r="IV155"/>
    </row>
    <row r="156" spans="1:256" s="27" customFormat="1" ht="12">
      <c r="A156"/>
      <c r="B156" s="68" t="s">
        <v>209</v>
      </c>
      <c r="C156" s="69"/>
      <c r="G156" s="70">
        <v>0</v>
      </c>
      <c r="IT156"/>
      <c r="IU156"/>
      <c r="IV156"/>
    </row>
    <row r="157" spans="1:256" s="27" customFormat="1" ht="12">
      <c r="A157"/>
      <c r="B157" s="68" t="s">
        <v>210</v>
      </c>
      <c r="C157" s="69"/>
      <c r="G157" s="70">
        <v>411056.63</v>
      </c>
      <c r="IT157"/>
      <c r="IU157"/>
      <c r="IV157"/>
    </row>
    <row r="158" spans="1:256" s="27" customFormat="1" ht="12">
      <c r="A158"/>
      <c r="B158" s="68" t="s">
        <v>211</v>
      </c>
      <c r="C158" s="69"/>
      <c r="G158" s="70">
        <v>8123.87</v>
      </c>
      <c r="IT158"/>
      <c r="IU158"/>
      <c r="IV158"/>
    </row>
    <row r="159" spans="1:256" s="27" customFormat="1" ht="12">
      <c r="A159"/>
      <c r="B159" s="68" t="s">
        <v>212</v>
      </c>
      <c r="C159" s="69"/>
      <c r="G159" s="70">
        <v>26803.72</v>
      </c>
      <c r="IT159"/>
      <c r="IU159"/>
      <c r="IV159"/>
    </row>
    <row r="160" spans="1:256" s="27" customFormat="1" ht="12">
      <c r="A160"/>
      <c r="B160" s="68" t="s">
        <v>213</v>
      </c>
      <c r="C160" s="69"/>
      <c r="G160" s="70">
        <v>0</v>
      </c>
      <c r="IT160"/>
      <c r="IU160"/>
      <c r="IV160"/>
    </row>
    <row r="161" spans="1:256" s="27" customFormat="1" ht="12">
      <c r="A161"/>
      <c r="B161" s="68" t="s">
        <v>214</v>
      </c>
      <c r="C161" s="69"/>
      <c r="G161" s="70">
        <v>2836.93</v>
      </c>
      <c r="IT161"/>
      <c r="IU161"/>
      <c r="IV161"/>
    </row>
    <row r="162" spans="1:256" s="27" customFormat="1" ht="12">
      <c r="A162"/>
      <c r="B162" s="68" t="s">
        <v>215</v>
      </c>
      <c r="C162" s="69"/>
      <c r="G162" s="70">
        <v>0</v>
      </c>
      <c r="IT162"/>
      <c r="IU162"/>
      <c r="IV162"/>
    </row>
    <row r="163" spans="1:256" s="27" customFormat="1" ht="12">
      <c r="A163"/>
      <c r="B163" s="68" t="s">
        <v>216</v>
      </c>
      <c r="C163" s="69"/>
      <c r="G163" s="70">
        <v>897323.17</v>
      </c>
      <c r="IT163"/>
      <c r="IU163"/>
      <c r="IV163"/>
    </row>
    <row r="164" spans="1:256" s="27" customFormat="1" ht="12">
      <c r="A164"/>
      <c r="B164" s="68" t="s">
        <v>217</v>
      </c>
      <c r="C164" s="69"/>
      <c r="G164" s="70">
        <v>558128.3</v>
      </c>
      <c r="IT164"/>
      <c r="IU164"/>
      <c r="IV164"/>
    </row>
    <row r="165" spans="2:7" ht="12">
      <c r="B165" s="68" t="s">
        <v>218</v>
      </c>
      <c r="C165" s="69"/>
      <c r="G165" s="70">
        <v>793.81</v>
      </c>
    </row>
    <row r="166" spans="2:7" ht="12">
      <c r="B166" s="68" t="s">
        <v>219</v>
      </c>
      <c r="C166" s="69"/>
      <c r="G166" s="70">
        <v>0</v>
      </c>
    </row>
    <row r="167" spans="2:10" ht="21.75" customHeight="1">
      <c r="B167" s="73" t="s">
        <v>220</v>
      </c>
      <c r="C167" s="73"/>
      <c r="D167" s="73"/>
      <c r="E167" s="73"/>
      <c r="F167" s="73"/>
      <c r="G167" s="73"/>
      <c r="H167" s="62">
        <f>SUM(H120:H166)</f>
        <v>0</v>
      </c>
      <c r="I167" s="61">
        <f>SUM(G55:G166)</f>
        <v>30776422.23999998</v>
      </c>
      <c r="J167" s="74"/>
    </row>
    <row r="168" spans="2:9" ht="21.75" customHeight="1">
      <c r="B168" s="73" t="s">
        <v>221</v>
      </c>
      <c r="C168" s="73"/>
      <c r="D168" s="73"/>
      <c r="E168" s="73"/>
      <c r="F168" s="73"/>
      <c r="G168" s="73"/>
      <c r="H168" s="75"/>
      <c r="I168" s="76">
        <v>9209757.37</v>
      </c>
    </row>
    <row r="169" spans="2:9" ht="21.75" customHeight="1">
      <c r="B169" s="77" t="s">
        <v>53</v>
      </c>
      <c r="C169" s="77"/>
      <c r="D169" s="78"/>
      <c r="E169" s="78"/>
      <c r="F169" s="78"/>
      <c r="G169" s="79"/>
      <c r="H169" s="80"/>
      <c r="I169" s="81">
        <v>-64065654.14</v>
      </c>
    </row>
    <row r="170" spans="2:9" ht="21.75" customHeight="1">
      <c r="B170" s="82" t="s">
        <v>222</v>
      </c>
      <c r="C170" s="83"/>
      <c r="D170" s="84"/>
      <c r="E170" s="84"/>
      <c r="F170" s="84"/>
      <c r="G170" s="85"/>
      <c r="I170" s="86">
        <f>'Anexo I'!C67</f>
        <v>62277333.81</v>
      </c>
    </row>
  </sheetData>
  <mergeCells count="3">
    <mergeCell ref="B54:C54"/>
    <mergeCell ref="B167:G167"/>
    <mergeCell ref="B168:G168"/>
  </mergeCells>
  <printOptions/>
  <pageMargins left="0.7875" right="0.7875" top="0.7875" bottom="0.9541666666666666" header="0.5118055555555555" footer="0.7875"/>
  <pageSetup horizontalDpi="300" verticalDpi="300" orientation="portrait" paperSize="5" scale="80"/>
  <headerFooter alignWithMargins="0">
    <oddFooter>&amp;C&amp;12Confeccionado por Tesorería General&amp;R&amp;12(Provisorio)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zoomScale="110" zoomScaleNormal="110" zoomScaleSheetLayoutView="80" workbookViewId="0" topLeftCell="A40">
      <selection activeCell="D4" sqref="D4"/>
    </sheetView>
  </sheetViews>
  <sheetFormatPr defaultColWidth="13.00390625" defaultRowHeight="12.75"/>
  <cols>
    <col min="1" max="1" width="7.125" style="0" customWidth="1"/>
    <col min="2" max="2" width="8.875" style="0" customWidth="1"/>
    <col min="3" max="3" width="42.50390625" style="0" customWidth="1"/>
    <col min="4" max="4" width="12.875" style="33" customWidth="1"/>
    <col min="5" max="16384" width="12.875" style="0" customWidth="1"/>
  </cols>
  <sheetData>
    <row r="1" spans="1:256" s="88" customFormat="1" ht="12">
      <c r="A1"/>
      <c r="B1" s="87" t="s">
        <v>223</v>
      </c>
      <c r="C1" s="87"/>
      <c r="D1" s="87"/>
      <c r="E1" s="87"/>
      <c r="IU1"/>
      <c r="IV1"/>
    </row>
    <row r="2" spans="1:256" s="88" customFormat="1" ht="12">
      <c r="A2"/>
      <c r="B2" s="51"/>
      <c r="C2" s="89"/>
      <c r="D2" s="89"/>
      <c r="IU2"/>
      <c r="IV2"/>
    </row>
    <row r="3" spans="1:256" s="88" customFormat="1" ht="34.5">
      <c r="A3"/>
      <c r="B3" s="90" t="s">
        <v>224</v>
      </c>
      <c r="C3" s="91" t="s">
        <v>55</v>
      </c>
      <c r="D3" s="90" t="s">
        <v>225</v>
      </c>
      <c r="IU3"/>
      <c r="IV3"/>
    </row>
    <row r="4" spans="2:4" s="1" customFormat="1" ht="12.75" customHeight="1">
      <c r="B4" s="92" t="s">
        <v>226</v>
      </c>
      <c r="C4" s="92" t="s">
        <v>227</v>
      </c>
      <c r="D4" s="19">
        <v>472799.61</v>
      </c>
    </row>
    <row r="5" spans="2:4" s="1" customFormat="1" ht="12.75" customHeight="1">
      <c r="B5" s="92" t="s">
        <v>228</v>
      </c>
      <c r="C5" s="92" t="s">
        <v>229</v>
      </c>
      <c r="D5" s="19">
        <v>90183.11</v>
      </c>
    </row>
    <row r="6" spans="2:4" s="1" customFormat="1" ht="12.75" customHeight="1">
      <c r="B6" s="1" t="s">
        <v>230</v>
      </c>
      <c r="C6" s="1" t="s">
        <v>231</v>
      </c>
      <c r="D6" s="19">
        <v>96489.15</v>
      </c>
    </row>
    <row r="7" spans="3:5" ht="12">
      <c r="C7" s="93" t="s">
        <v>232</v>
      </c>
      <c r="D7"/>
      <c r="E7" s="94">
        <f>SUM(D4:D6)</f>
        <v>659471.87</v>
      </c>
    </row>
    <row r="8" ht="12">
      <c r="D8" s="19"/>
    </row>
    <row r="9" spans="2:4" s="1" customFormat="1" ht="12.75" customHeight="1">
      <c r="B9" s="92" t="s">
        <v>233</v>
      </c>
      <c r="C9" s="92" t="s">
        <v>234</v>
      </c>
      <c r="D9" s="19">
        <v>7414315.19</v>
      </c>
    </row>
    <row r="10" spans="3:5" ht="12">
      <c r="C10" s="95" t="s">
        <v>235</v>
      </c>
      <c r="D10"/>
      <c r="E10" s="94">
        <f>SUM(D9)</f>
        <v>7414315.19</v>
      </c>
    </row>
    <row r="11" ht="12">
      <c r="D11" s="19"/>
    </row>
    <row r="12" spans="2:4" s="1" customFormat="1" ht="12.75" customHeight="1">
      <c r="B12" s="1" t="s">
        <v>236</v>
      </c>
      <c r="C12" s="1" t="s">
        <v>237</v>
      </c>
      <c r="D12" s="19">
        <v>0</v>
      </c>
    </row>
    <row r="13" spans="3:5" s="1" customFormat="1" ht="12.75" customHeight="1">
      <c r="C13" s="95" t="s">
        <v>238</v>
      </c>
      <c r="D13" s="19"/>
      <c r="E13" s="94">
        <f>D12</f>
        <v>0</v>
      </c>
    </row>
    <row r="14" s="1" customFormat="1" ht="12.75" customHeight="1">
      <c r="D14" s="19"/>
    </row>
    <row r="15" spans="2:4" s="1" customFormat="1" ht="12.75" customHeight="1">
      <c r="B15" s="92" t="s">
        <v>239</v>
      </c>
      <c r="C15" s="92" t="s">
        <v>240</v>
      </c>
      <c r="D15" s="19"/>
    </row>
    <row r="16" spans="2:4" s="1" customFormat="1" ht="12.75" customHeight="1">
      <c r="B16" s="92" t="s">
        <v>241</v>
      </c>
      <c r="C16" s="92" t="s">
        <v>242</v>
      </c>
      <c r="D16" s="19"/>
    </row>
    <row r="17" spans="2:4" s="1" customFormat="1" ht="12.75" customHeight="1">
      <c r="B17" s="1" t="s">
        <v>243</v>
      </c>
      <c r="C17" s="1" t="s">
        <v>244</v>
      </c>
      <c r="D17" s="19">
        <v>6122.16</v>
      </c>
    </row>
    <row r="18" spans="2:4" s="1" customFormat="1" ht="12.75" customHeight="1">
      <c r="B18" s="1" t="s">
        <v>245</v>
      </c>
      <c r="C18" s="1" t="s">
        <v>246</v>
      </c>
      <c r="D18" s="19"/>
    </row>
    <row r="19" spans="2:4" s="1" customFormat="1" ht="12.75" customHeight="1">
      <c r="B19" s="92" t="s">
        <v>247</v>
      </c>
      <c r="C19" s="92" t="s">
        <v>248</v>
      </c>
      <c r="D19" s="19">
        <v>1178</v>
      </c>
    </row>
    <row r="20" spans="2:4" s="1" customFormat="1" ht="12.75" customHeight="1">
      <c r="B20" s="92" t="s">
        <v>249</v>
      </c>
      <c r="C20" s="92" t="s">
        <v>250</v>
      </c>
      <c r="D20" s="19">
        <v>115.2</v>
      </c>
    </row>
    <row r="21" spans="2:4" s="1" customFormat="1" ht="12.75" customHeight="1">
      <c r="B21" s="92" t="s">
        <v>251</v>
      </c>
      <c r="C21" s="92" t="s">
        <v>252</v>
      </c>
      <c r="D21" s="19"/>
    </row>
    <row r="22" spans="2:4" s="1" customFormat="1" ht="12.75" customHeight="1">
      <c r="B22" s="1" t="s">
        <v>253</v>
      </c>
      <c r="C22" s="1" t="s">
        <v>254</v>
      </c>
      <c r="D22" s="19"/>
    </row>
    <row r="23" spans="2:4" s="1" customFormat="1" ht="12.75" customHeight="1">
      <c r="B23" s="92" t="s">
        <v>255</v>
      </c>
      <c r="C23" s="92" t="s">
        <v>256</v>
      </c>
      <c r="D23" s="19">
        <v>3832.86</v>
      </c>
    </row>
    <row r="24" spans="2:4" s="1" customFormat="1" ht="12.75" customHeight="1">
      <c r="B24" s="1" t="s">
        <v>257</v>
      </c>
      <c r="C24" s="1" t="s">
        <v>258</v>
      </c>
      <c r="D24" s="19">
        <v>4382.88</v>
      </c>
    </row>
    <row r="25" spans="2:4" s="1" customFormat="1" ht="12.75" customHeight="1">
      <c r="B25" s="1" t="s">
        <v>259</v>
      </c>
      <c r="C25" s="1" t="s">
        <v>260</v>
      </c>
      <c r="D25" s="19"/>
    </row>
    <row r="26" spans="2:4" s="1" customFormat="1" ht="12.75" customHeight="1">
      <c r="B26" s="1" t="s">
        <v>261</v>
      </c>
      <c r="C26" s="1" t="s">
        <v>262</v>
      </c>
      <c r="D26" s="19">
        <v>37191.72</v>
      </c>
    </row>
    <row r="27" spans="2:4" s="1" customFormat="1" ht="12.75" customHeight="1">
      <c r="B27" s="92" t="s">
        <v>263</v>
      </c>
      <c r="C27" s="92" t="s">
        <v>264</v>
      </c>
      <c r="D27" s="19"/>
    </row>
    <row r="28" spans="2:4" s="1" customFormat="1" ht="12.75" customHeight="1">
      <c r="B28" s="1" t="s">
        <v>265</v>
      </c>
      <c r="C28" s="1" t="s">
        <v>266</v>
      </c>
      <c r="D28" s="19">
        <v>12095.2</v>
      </c>
    </row>
    <row r="29" spans="2:4" s="1" customFormat="1" ht="12.75" customHeight="1">
      <c r="B29" s="1" t="s">
        <v>267</v>
      </c>
      <c r="C29" s="1" t="s">
        <v>268</v>
      </c>
      <c r="D29" s="19"/>
    </row>
    <row r="30" spans="2:4" s="1" customFormat="1" ht="12.75" customHeight="1">
      <c r="B30" s="1" t="s">
        <v>269</v>
      </c>
      <c r="C30" s="1" t="s">
        <v>270</v>
      </c>
      <c r="D30" s="19"/>
    </row>
    <row r="31" spans="2:4" s="1" customFormat="1" ht="12.75" customHeight="1">
      <c r="B31" s="1" t="s">
        <v>271</v>
      </c>
      <c r="C31" s="1" t="s">
        <v>272</v>
      </c>
      <c r="D31" s="19"/>
    </row>
    <row r="32" spans="2:4" s="1" customFormat="1" ht="12.75" customHeight="1">
      <c r="B32" s="92" t="s">
        <v>273</v>
      </c>
      <c r="C32" s="92" t="s">
        <v>274</v>
      </c>
      <c r="D32" s="19"/>
    </row>
    <row r="33" spans="2:4" s="1" customFormat="1" ht="12.75" customHeight="1">
      <c r="B33" s="1" t="s">
        <v>275</v>
      </c>
      <c r="C33" s="1" t="s">
        <v>276</v>
      </c>
      <c r="D33" s="19"/>
    </row>
    <row r="34" spans="2:4" s="1" customFormat="1" ht="12.75" customHeight="1">
      <c r="B34" s="92" t="s">
        <v>277</v>
      </c>
      <c r="C34" s="92" t="s">
        <v>278</v>
      </c>
      <c r="D34" s="19"/>
    </row>
    <row r="35" spans="2:4" s="1" customFormat="1" ht="12.75" customHeight="1">
      <c r="B35" s="92" t="s">
        <v>279</v>
      </c>
      <c r="C35" s="92" t="s">
        <v>280</v>
      </c>
      <c r="D35" s="19"/>
    </row>
    <row r="36" spans="2:4" s="1" customFormat="1" ht="12.75" customHeight="1">
      <c r="B36" s="1" t="s">
        <v>281</v>
      </c>
      <c r="C36" s="1" t="s">
        <v>282</v>
      </c>
      <c r="D36" s="19"/>
    </row>
    <row r="37" spans="2:4" s="1" customFormat="1" ht="12.75" customHeight="1">
      <c r="B37" s="1" t="s">
        <v>283</v>
      </c>
      <c r="C37" s="1" t="s">
        <v>284</v>
      </c>
      <c r="D37" s="19">
        <v>10</v>
      </c>
    </row>
    <row r="38" spans="2:4" s="1" customFormat="1" ht="12.75" customHeight="1">
      <c r="B38" s="92" t="s">
        <v>285</v>
      </c>
      <c r="C38" s="92" t="s">
        <v>286</v>
      </c>
      <c r="D38" s="19"/>
    </row>
    <row r="39" spans="2:4" s="1" customFormat="1" ht="12.75" customHeight="1">
      <c r="B39" s="96" t="s">
        <v>287</v>
      </c>
      <c r="C39" s="96" t="s">
        <v>288</v>
      </c>
      <c r="D39" s="19">
        <v>25343.11</v>
      </c>
    </row>
    <row r="40" spans="2:4" s="1" customFormat="1" ht="12.75" customHeight="1">
      <c r="B40" s="97" t="s">
        <v>289</v>
      </c>
      <c r="C40" s="97" t="s">
        <v>290</v>
      </c>
      <c r="D40" s="19">
        <v>440</v>
      </c>
    </row>
    <row r="41" spans="2:4" s="1" customFormat="1" ht="12.75" customHeight="1">
      <c r="B41" s="96" t="s">
        <v>291</v>
      </c>
      <c r="C41" s="96" t="s">
        <v>292</v>
      </c>
      <c r="D41" s="19"/>
    </row>
    <row r="42" spans="2:4" s="1" customFormat="1" ht="12.75" customHeight="1">
      <c r="B42" s="96" t="s">
        <v>293</v>
      </c>
      <c r="C42" s="96" t="s">
        <v>294</v>
      </c>
      <c r="D42" s="19"/>
    </row>
    <row r="43" spans="2:4" s="1" customFormat="1" ht="12.75" customHeight="1">
      <c r="B43" s="92" t="s">
        <v>295</v>
      </c>
      <c r="C43" s="92" t="s">
        <v>296</v>
      </c>
      <c r="D43" s="19"/>
    </row>
    <row r="44" spans="2:4" s="1" customFormat="1" ht="12.75" customHeight="1">
      <c r="B44" s="1" t="s">
        <v>297</v>
      </c>
      <c r="C44" s="1" t="s">
        <v>298</v>
      </c>
      <c r="D44" s="19"/>
    </row>
    <row r="45" spans="2:4" s="1" customFormat="1" ht="12.75" customHeight="1">
      <c r="B45" s="1" t="s">
        <v>299</v>
      </c>
      <c r="C45" s="1" t="s">
        <v>300</v>
      </c>
      <c r="D45" s="19"/>
    </row>
    <row r="46" spans="2:4" s="1" customFormat="1" ht="12.75" customHeight="1">
      <c r="B46" s="92" t="s">
        <v>301</v>
      </c>
      <c r="C46" s="92" t="s">
        <v>302</v>
      </c>
      <c r="D46" s="19"/>
    </row>
    <row r="47" spans="2:9" s="1" customFormat="1" ht="12.75" customHeight="1">
      <c r="B47" s="92" t="s">
        <v>303</v>
      </c>
      <c r="C47" s="92" t="s">
        <v>304</v>
      </c>
      <c r="D47" s="19"/>
      <c r="E47" s="98"/>
      <c r="F47" s="99"/>
      <c r="G47" s="99"/>
      <c r="H47" s="99"/>
      <c r="I47"/>
    </row>
    <row r="48" spans="2:9" s="1" customFormat="1" ht="12.75" customHeight="1">
      <c r="B48" s="92" t="s">
        <v>305</v>
      </c>
      <c r="C48" s="92" t="s">
        <v>306</v>
      </c>
      <c r="D48" s="19"/>
      <c r="E48" s="98"/>
      <c r="F48" s="99"/>
      <c r="G48" s="99"/>
      <c r="H48" s="99"/>
      <c r="I48"/>
    </row>
    <row r="49" spans="2:4" s="1" customFormat="1" ht="12.75" customHeight="1">
      <c r="B49" s="92" t="s">
        <v>307</v>
      </c>
      <c r="C49" s="92" t="s">
        <v>308</v>
      </c>
      <c r="D49" s="19"/>
    </row>
    <row r="50" spans="2:4" s="1" customFormat="1" ht="12.75" customHeight="1">
      <c r="B50" s="1" t="s">
        <v>309</v>
      </c>
      <c r="C50" s="1" t="s">
        <v>310</v>
      </c>
      <c r="D50" s="19"/>
    </row>
    <row r="51" spans="2:4" s="1" customFormat="1" ht="12.75" customHeight="1">
      <c r="B51" s="1" t="s">
        <v>311</v>
      </c>
      <c r="C51" s="1" t="s">
        <v>312</v>
      </c>
      <c r="D51" s="19"/>
    </row>
    <row r="52" spans="2:4" s="1" customFormat="1" ht="12.75" customHeight="1">
      <c r="B52" s="1" t="s">
        <v>313</v>
      </c>
      <c r="C52" s="1" t="s">
        <v>314</v>
      </c>
      <c r="D52" s="19"/>
    </row>
    <row r="53" spans="2:4" s="1" customFormat="1" ht="12.75" customHeight="1">
      <c r="B53" s="1" t="s">
        <v>315</v>
      </c>
      <c r="C53" s="1" t="s">
        <v>316</v>
      </c>
      <c r="D53" s="19"/>
    </row>
    <row r="54" spans="2:4" s="1" customFormat="1" ht="12.75" customHeight="1">
      <c r="B54" s="1" t="s">
        <v>317</v>
      </c>
      <c r="C54" s="1" t="s">
        <v>318</v>
      </c>
      <c r="D54" s="19"/>
    </row>
    <row r="55" spans="2:4" s="1" customFormat="1" ht="12.75" customHeight="1">
      <c r="B55" s="92" t="s">
        <v>319</v>
      </c>
      <c r="C55" s="1" t="s">
        <v>244</v>
      </c>
      <c r="D55" s="19">
        <v>16418.52</v>
      </c>
    </row>
    <row r="56" spans="2:4" s="1" customFormat="1" ht="12.75" customHeight="1">
      <c r="B56" s="92" t="s">
        <v>320</v>
      </c>
      <c r="C56" s="92" t="s">
        <v>321</v>
      </c>
      <c r="D56" s="19">
        <v>5187.59</v>
      </c>
    </row>
    <row r="57" spans="2:4" s="1" customFormat="1" ht="12.75" customHeight="1">
      <c r="B57" s="92" t="s">
        <v>322</v>
      </c>
      <c r="C57" s="92" t="s">
        <v>323</v>
      </c>
      <c r="D57" s="19"/>
    </row>
    <row r="58" spans="2:4" s="1" customFormat="1" ht="12.75" customHeight="1">
      <c r="B58" s="1" t="s">
        <v>324</v>
      </c>
      <c r="C58" s="1" t="s">
        <v>260</v>
      </c>
      <c r="D58" s="19">
        <v>1101</v>
      </c>
    </row>
    <row r="59" spans="2:4" s="1" customFormat="1" ht="12.75" customHeight="1">
      <c r="B59" s="92" t="s">
        <v>325</v>
      </c>
      <c r="C59" s="92" t="s">
        <v>326</v>
      </c>
      <c r="D59" s="19">
        <v>1622</v>
      </c>
    </row>
    <row r="60" spans="2:4" s="1" customFormat="1" ht="12.75" customHeight="1">
      <c r="B60" s="92" t="s">
        <v>327</v>
      </c>
      <c r="C60" s="92" t="s">
        <v>328</v>
      </c>
      <c r="D60" s="19">
        <v>1360</v>
      </c>
    </row>
    <row r="61" spans="2:4" s="1" customFormat="1" ht="12.75" customHeight="1">
      <c r="B61" s="1" t="s">
        <v>329</v>
      </c>
      <c r="C61" s="1" t="s">
        <v>284</v>
      </c>
      <c r="D61" s="19"/>
    </row>
    <row r="62" spans="2:4" s="1" customFormat="1" ht="12.75" customHeight="1">
      <c r="B62" s="1" t="s">
        <v>330</v>
      </c>
      <c r="C62" s="1" t="s">
        <v>331</v>
      </c>
      <c r="D62" s="19"/>
    </row>
    <row r="63" spans="2:4" s="1" customFormat="1" ht="12.75" customHeight="1">
      <c r="B63" s="1" t="s">
        <v>332</v>
      </c>
      <c r="C63" s="1" t="s">
        <v>333</v>
      </c>
      <c r="D63" s="19"/>
    </row>
    <row r="64" spans="2:5" ht="12">
      <c r="B64" s="100"/>
      <c r="C64" s="95" t="s">
        <v>21</v>
      </c>
      <c r="D64"/>
      <c r="E64" s="101">
        <f>SUM(D15:D63)</f>
        <v>116400.24</v>
      </c>
    </row>
    <row r="65" spans="2:5" ht="12">
      <c r="B65" s="100"/>
      <c r="C65" s="95"/>
      <c r="D65" s="19"/>
      <c r="E65" s="101"/>
    </row>
    <row r="66" spans="2:5" ht="12">
      <c r="B66" s="102"/>
      <c r="C66" s="2" t="s">
        <v>334</v>
      </c>
      <c r="D66" s="19">
        <v>29143.06</v>
      </c>
      <c r="E66" s="101"/>
    </row>
    <row r="67" spans="2:5" ht="12">
      <c r="B67" s="102"/>
      <c r="C67" s="2" t="s">
        <v>334</v>
      </c>
      <c r="D67" s="19">
        <v>30991.83</v>
      </c>
      <c r="E67" s="101"/>
    </row>
    <row r="68" spans="2:5" ht="12">
      <c r="B68" s="102"/>
      <c r="C68" s="2" t="s">
        <v>22</v>
      </c>
      <c r="D68" s="19">
        <v>24719.5</v>
      </c>
      <c r="E68" s="101"/>
    </row>
    <row r="69" spans="2:5" ht="12">
      <c r="B69" s="102"/>
      <c r="C69" s="2" t="s">
        <v>335</v>
      </c>
      <c r="D69" s="19">
        <v>500</v>
      </c>
      <c r="E69" s="101"/>
    </row>
    <row r="70" spans="2:5" ht="12">
      <c r="B70" s="103"/>
      <c r="C70" t="s">
        <v>335</v>
      </c>
      <c r="D70" s="19">
        <v>3500</v>
      </c>
      <c r="E70" s="101">
        <f>SUM(D66:D70)</f>
        <v>88854.39</v>
      </c>
    </row>
    <row r="71" spans="2:4" ht="12">
      <c r="B71" s="102"/>
      <c r="D71" s="19"/>
    </row>
    <row r="72" spans="2:5" ht="12">
      <c r="B72" s="102"/>
      <c r="D72" s="19"/>
      <c r="E72" s="101"/>
    </row>
    <row r="73" spans="2:4" ht="12">
      <c r="B73" s="104"/>
      <c r="D73" s="19"/>
    </row>
    <row r="74" spans="2:4" ht="12">
      <c r="B74" s="104"/>
      <c r="D74" s="19"/>
    </row>
    <row r="75" spans="2:4" ht="12">
      <c r="B75" s="104"/>
      <c r="D75" s="19"/>
    </row>
    <row r="76" spans="2:4" ht="12">
      <c r="B76" s="104"/>
      <c r="D76" s="19"/>
    </row>
    <row r="77" spans="2:4" ht="12">
      <c r="B77" s="104"/>
      <c r="D77" s="19"/>
    </row>
    <row r="78" spans="2:5" ht="12">
      <c r="B78" s="100"/>
      <c r="C78" s="93"/>
      <c r="D78" s="19"/>
      <c r="E78" s="101"/>
    </row>
    <row r="79" spans="2:4" ht="12">
      <c r="B79" s="100"/>
      <c r="D79" s="19"/>
    </row>
    <row r="80" spans="2:4" ht="12">
      <c r="B80" s="100"/>
      <c r="D80" s="19"/>
    </row>
    <row r="81" ht="12">
      <c r="B81" s="100"/>
    </row>
    <row r="82" ht="12">
      <c r="B82" s="100"/>
    </row>
    <row r="83" ht="12">
      <c r="B83" s="100"/>
    </row>
    <row r="84" ht="12">
      <c r="B84" s="100"/>
    </row>
    <row r="85" ht="12">
      <c r="B85" s="100"/>
    </row>
  </sheetData>
  <mergeCells count="1">
    <mergeCell ref="B1:E1"/>
  </mergeCells>
  <printOptions/>
  <pageMargins left="0.7875" right="0.7875" top="0.7875" bottom="0.9541666666666666" header="0.5118055555555555" footer="0.7875"/>
  <pageSetup horizontalDpi="300" verticalDpi="300" orientation="portrait" paperSize="5" scale="80"/>
  <headerFooter alignWithMargins="0">
    <oddFooter>&amp;C&amp;12Confeccionado por Tesorería General&amp;R&amp;12(Provisorio)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V128"/>
  <sheetViews>
    <sheetView zoomScale="110" zoomScaleNormal="110" zoomScaleSheetLayoutView="80" workbookViewId="0" topLeftCell="A12">
      <selection activeCell="F35" sqref="F35"/>
    </sheetView>
  </sheetViews>
  <sheetFormatPr defaultColWidth="11.00390625" defaultRowHeight="12.75"/>
  <cols>
    <col min="1" max="1" width="1.12109375" style="105" customWidth="1"/>
    <col min="2" max="2" width="12.50390625" style="105" customWidth="1"/>
    <col min="3" max="3" width="32.75390625" style="105" customWidth="1"/>
    <col min="4" max="4" width="15.875" style="2" customWidth="1"/>
    <col min="5" max="5" width="14.50390625" style="2" customWidth="1"/>
    <col min="6" max="6" width="14.50390625" style="106" customWidth="1"/>
    <col min="7" max="7" width="15.875" style="93" customWidth="1"/>
    <col min="8" max="9" width="13.375" style="105" customWidth="1"/>
    <col min="10" max="10" width="11.50390625" style="105" customWidth="1"/>
    <col min="11" max="13" width="15.25390625" style="105" customWidth="1"/>
    <col min="14" max="14" width="13.25390625" style="105" customWidth="1"/>
    <col min="15" max="16384" width="10.625" style="105" customWidth="1"/>
  </cols>
  <sheetData>
    <row r="1" spans="2:6" ht="12">
      <c r="B1" s="51" t="s">
        <v>8</v>
      </c>
      <c r="F1" s="107"/>
    </row>
    <row r="2" spans="2:6" ht="12">
      <c r="B2" s="93"/>
      <c r="F2" s="107"/>
    </row>
    <row r="3" spans="2:7" ht="12">
      <c r="B3" s="108"/>
      <c r="C3" s="108"/>
      <c r="D3" s="109"/>
      <c r="E3" s="109"/>
      <c r="F3" s="107"/>
      <c r="G3" s="108"/>
    </row>
    <row r="4" spans="2:256" s="105" customFormat="1" ht="12">
      <c r="B4" s="108" t="s">
        <v>336</v>
      </c>
      <c r="C4" s="108" t="s">
        <v>337</v>
      </c>
      <c r="D4" s="108" t="s">
        <v>338</v>
      </c>
      <c r="E4" s="108"/>
      <c r="F4" s="108" t="s">
        <v>339</v>
      </c>
      <c r="I4" s="99"/>
      <c r="IV4"/>
    </row>
    <row r="5" spans="2:256" s="105" customFormat="1" ht="12">
      <c r="B5" s="110">
        <v>39535</v>
      </c>
      <c r="C5" t="s">
        <v>340</v>
      </c>
      <c r="D5" s="111">
        <v>650</v>
      </c>
      <c r="E5" s="111"/>
      <c r="F5" t="s">
        <v>341</v>
      </c>
      <c r="IV5"/>
    </row>
    <row r="6" spans="2:256" s="105" customFormat="1" ht="12">
      <c r="B6" s="110">
        <v>39538</v>
      </c>
      <c r="C6" t="s">
        <v>342</v>
      </c>
      <c r="D6" s="112">
        <v>5507.75</v>
      </c>
      <c r="E6" s="112"/>
      <c r="F6" t="s">
        <v>343</v>
      </c>
      <c r="IV6"/>
    </row>
    <row r="7" spans="2:256" s="105" customFormat="1" ht="12">
      <c r="B7" s="110">
        <v>39538</v>
      </c>
      <c r="C7" t="s">
        <v>344</v>
      </c>
      <c r="D7" s="112">
        <v>55000</v>
      </c>
      <c r="E7" s="112"/>
      <c r="F7" t="s">
        <v>345</v>
      </c>
      <c r="IV7"/>
    </row>
    <row r="8" spans="2:256" s="105" customFormat="1" ht="12">
      <c r="B8" s="110">
        <v>39538</v>
      </c>
      <c r="C8" t="s">
        <v>346</v>
      </c>
      <c r="D8" s="112">
        <v>10000</v>
      </c>
      <c r="E8" s="112"/>
      <c r="F8" t="s">
        <v>345</v>
      </c>
      <c r="I8" s="99"/>
      <c r="IV8"/>
    </row>
    <row r="9" spans="2:256" s="105" customFormat="1" ht="12">
      <c r="B9" s="110">
        <v>39538</v>
      </c>
      <c r="C9" t="s">
        <v>347</v>
      </c>
      <c r="D9" s="112">
        <v>30000</v>
      </c>
      <c r="E9" s="112"/>
      <c r="F9" t="s">
        <v>345</v>
      </c>
      <c r="I9" s="99"/>
      <c r="IV9"/>
    </row>
    <row r="10" spans="2:256" s="105" customFormat="1" ht="12">
      <c r="B10" s="110">
        <v>39538</v>
      </c>
      <c r="C10" t="s">
        <v>347</v>
      </c>
      <c r="D10" s="112">
        <v>40000</v>
      </c>
      <c r="E10" s="112"/>
      <c r="F10" t="s">
        <v>345</v>
      </c>
      <c r="I10" s="99"/>
      <c r="IV10"/>
    </row>
    <row r="11" spans="2:256" s="105" customFormat="1" ht="12">
      <c r="B11" s="110">
        <v>39538</v>
      </c>
      <c r="C11" t="s">
        <v>348</v>
      </c>
      <c r="D11" s="112">
        <v>531000</v>
      </c>
      <c r="E11" s="112"/>
      <c r="F11" t="s">
        <v>349</v>
      </c>
      <c r="I11" s="99"/>
      <c r="IV11"/>
    </row>
    <row r="12" spans="2:256" s="105" customFormat="1" ht="12">
      <c r="B12" s="110">
        <v>39538</v>
      </c>
      <c r="C12" t="s">
        <v>350</v>
      </c>
      <c r="D12" s="112">
        <v>1391</v>
      </c>
      <c r="E12" s="112"/>
      <c r="F12" t="s">
        <v>351</v>
      </c>
      <c r="IV12"/>
    </row>
    <row r="13" spans="2:256" s="105" customFormat="1" ht="12">
      <c r="B13" s="110">
        <v>39538</v>
      </c>
      <c r="C13" t="s">
        <v>352</v>
      </c>
      <c r="D13" s="112">
        <v>26030</v>
      </c>
      <c r="E13" s="112"/>
      <c r="F13" t="s">
        <v>343</v>
      </c>
      <c r="IV13"/>
    </row>
    <row r="14" spans="2:256" s="105" customFormat="1" ht="12">
      <c r="B14" s="110">
        <v>39538</v>
      </c>
      <c r="C14" t="s">
        <v>352</v>
      </c>
      <c r="D14" s="112">
        <v>3851</v>
      </c>
      <c r="E14" s="112"/>
      <c r="F14" t="s">
        <v>343</v>
      </c>
      <c r="I14" s="99"/>
      <c r="IV14"/>
    </row>
    <row r="15" spans="2:256" s="105" customFormat="1" ht="12">
      <c r="B15" s="110">
        <v>39538</v>
      </c>
      <c r="C15" t="s">
        <v>352</v>
      </c>
      <c r="D15" s="112">
        <v>13490</v>
      </c>
      <c r="E15" s="112"/>
      <c r="F15" t="s">
        <v>343</v>
      </c>
      <c r="I15" s="99"/>
      <c r="IV15"/>
    </row>
    <row r="16" spans="2:256" s="105" customFormat="1" ht="12">
      <c r="B16" s="110">
        <v>39538</v>
      </c>
      <c r="C16" t="s">
        <v>353</v>
      </c>
      <c r="D16" s="112">
        <v>668.25</v>
      </c>
      <c r="E16" s="112"/>
      <c r="F16" t="s">
        <v>343</v>
      </c>
      <c r="I16" s="99"/>
      <c r="IV16"/>
    </row>
    <row r="17" spans="2:256" s="105" customFormat="1" ht="12">
      <c r="B17" s="110">
        <v>39538</v>
      </c>
      <c r="C17" t="s">
        <v>354</v>
      </c>
      <c r="D17" s="112">
        <v>43800</v>
      </c>
      <c r="E17" s="112"/>
      <c r="F17" t="s">
        <v>343</v>
      </c>
      <c r="I17" s="99"/>
      <c r="IV17"/>
    </row>
    <row r="18" spans="2:256" s="105" customFormat="1" ht="12">
      <c r="B18" s="110">
        <v>39538</v>
      </c>
      <c r="C18" t="s">
        <v>355</v>
      </c>
      <c r="D18" s="112">
        <v>30806.25</v>
      </c>
      <c r="E18" s="112"/>
      <c r="F18" t="s">
        <v>343</v>
      </c>
      <c r="J18" s="99"/>
      <c r="M18" s="113"/>
      <c r="N18" s="99"/>
      <c r="IV18"/>
    </row>
    <row r="19" spans="2:256" s="105" customFormat="1" ht="12">
      <c r="B19" s="110">
        <v>39538</v>
      </c>
      <c r="C19" t="s">
        <v>356</v>
      </c>
      <c r="D19" s="112">
        <v>20743.35</v>
      </c>
      <c r="E19" s="112"/>
      <c r="F19" t="s">
        <v>343</v>
      </c>
      <c r="IV19"/>
    </row>
    <row r="20" spans="2:256" ht="12">
      <c r="B20" s="110">
        <v>39538</v>
      </c>
      <c r="C20" t="s">
        <v>357</v>
      </c>
      <c r="D20" s="112">
        <v>4500</v>
      </c>
      <c r="E20" s="112"/>
      <c r="F20" t="s">
        <v>343</v>
      </c>
      <c r="G20"/>
      <c r="IV20"/>
    </row>
    <row r="21" spans="2:256" ht="12">
      <c r="B21" s="110">
        <v>39538</v>
      </c>
      <c r="C21" t="s">
        <v>357</v>
      </c>
      <c r="D21" s="112">
        <v>3600</v>
      </c>
      <c r="E21" s="112"/>
      <c r="F21" t="s">
        <v>343</v>
      </c>
      <c r="G21"/>
      <c r="IV21"/>
    </row>
    <row r="22" spans="2:256" ht="12">
      <c r="B22" s="110">
        <v>39538</v>
      </c>
      <c r="C22" t="s">
        <v>352</v>
      </c>
      <c r="D22" s="112">
        <v>5890</v>
      </c>
      <c r="E22" s="112"/>
      <c r="F22" t="s">
        <v>343</v>
      </c>
      <c r="G22"/>
      <c r="IV22"/>
    </row>
    <row r="23" spans="2:256" ht="12">
      <c r="B23" s="110">
        <v>39538</v>
      </c>
      <c r="C23" t="s">
        <v>357</v>
      </c>
      <c r="D23" s="112">
        <v>3600</v>
      </c>
      <c r="E23" s="112"/>
      <c r="F23" t="s">
        <v>343</v>
      </c>
      <c r="G23"/>
      <c r="IV23"/>
    </row>
    <row r="24" spans="2:256" ht="12">
      <c r="B24" s="110">
        <v>39538</v>
      </c>
      <c r="C24" t="s">
        <v>358</v>
      </c>
      <c r="D24" s="112">
        <v>10147.42</v>
      </c>
      <c r="E24" s="112"/>
      <c r="F24" t="s">
        <v>343</v>
      </c>
      <c r="G24"/>
      <c r="IV24"/>
    </row>
    <row r="25" spans="2:256" ht="12">
      <c r="B25" s="110">
        <v>39538</v>
      </c>
      <c r="C25" t="s">
        <v>359</v>
      </c>
      <c r="D25" s="112">
        <v>5517.89</v>
      </c>
      <c r="E25" s="112"/>
      <c r="F25" t="s">
        <v>343</v>
      </c>
      <c r="G25"/>
      <c r="IV25"/>
    </row>
    <row r="26" spans="2:256" ht="12">
      <c r="B26" s="110">
        <v>39538</v>
      </c>
      <c r="C26" t="s">
        <v>360</v>
      </c>
      <c r="D26" s="112">
        <v>217.8</v>
      </c>
      <c r="E26" s="112"/>
      <c r="F26" t="s">
        <v>349</v>
      </c>
      <c r="G26"/>
      <c r="J26" s="99"/>
      <c r="IV26"/>
    </row>
    <row r="27" spans="2:256" ht="12">
      <c r="B27" s="110">
        <v>39538</v>
      </c>
      <c r="C27" t="s">
        <v>361</v>
      </c>
      <c r="D27" s="112">
        <v>217.8</v>
      </c>
      <c r="E27" s="112"/>
      <c r="F27" t="s">
        <v>349</v>
      </c>
      <c r="G27"/>
      <c r="J27" s="99"/>
      <c r="IV27"/>
    </row>
    <row r="28" spans="2:256" ht="12">
      <c r="B28" s="110">
        <v>39538</v>
      </c>
      <c r="C28" t="s">
        <v>362</v>
      </c>
      <c r="D28" s="112">
        <v>116506.7</v>
      </c>
      <c r="E28" s="112"/>
      <c r="F28" t="s">
        <v>363</v>
      </c>
      <c r="G28"/>
      <c r="J28" s="99"/>
      <c r="IV28"/>
    </row>
    <row r="29" spans="2:256" ht="12">
      <c r="B29" s="110">
        <v>39538</v>
      </c>
      <c r="C29" t="s">
        <v>364</v>
      </c>
      <c r="D29" s="112">
        <v>155260.46</v>
      </c>
      <c r="E29" s="112"/>
      <c r="F29" t="s">
        <v>363</v>
      </c>
      <c r="G29"/>
      <c r="IV29"/>
    </row>
    <row r="30" spans="2:256" ht="12">
      <c r="B30" s="110">
        <v>39538</v>
      </c>
      <c r="C30" t="s">
        <v>365</v>
      </c>
      <c r="D30" s="112">
        <v>6614.2</v>
      </c>
      <c r="E30" s="112"/>
      <c r="F30" t="s">
        <v>363</v>
      </c>
      <c r="G30"/>
      <c r="IV30"/>
    </row>
    <row r="31" spans="2:256" ht="12">
      <c r="B31" s="110">
        <v>39538</v>
      </c>
      <c r="C31" t="s">
        <v>362</v>
      </c>
      <c r="D31" s="112">
        <v>508104.4</v>
      </c>
      <c r="E31" s="112"/>
      <c r="F31" t="s">
        <v>363</v>
      </c>
      <c r="G31"/>
      <c r="IV31"/>
    </row>
    <row r="32" spans="2:256" ht="12">
      <c r="B32" s="110">
        <v>39538</v>
      </c>
      <c r="C32" t="s">
        <v>364</v>
      </c>
      <c r="D32" s="112">
        <v>508104.39</v>
      </c>
      <c r="E32" s="112"/>
      <c r="F32" t="s">
        <v>363</v>
      </c>
      <c r="G32"/>
      <c r="IV32"/>
    </row>
    <row r="33" spans="2:256" ht="12">
      <c r="B33" s="110">
        <v>39538</v>
      </c>
      <c r="C33" t="s">
        <v>365</v>
      </c>
      <c r="D33" s="112">
        <v>44713.19</v>
      </c>
      <c r="E33" s="112"/>
      <c r="F33" t="s">
        <v>363</v>
      </c>
      <c r="G33"/>
      <c r="IV33"/>
    </row>
    <row r="34" spans="2:256" ht="12">
      <c r="B34" s="110">
        <v>39538</v>
      </c>
      <c r="C34" t="s">
        <v>366</v>
      </c>
      <c r="D34" s="112">
        <v>61392.64</v>
      </c>
      <c r="E34" s="112"/>
      <c r="F34" t="s">
        <v>345</v>
      </c>
      <c r="G34"/>
      <c r="IV34"/>
    </row>
    <row r="35" spans="2:256" ht="12">
      <c r="B35" s="114"/>
      <c r="C35" s="115"/>
      <c r="D35" s="111">
        <v>2247324.49</v>
      </c>
      <c r="E35" s="111"/>
      <c r="F35" s="115"/>
      <c r="G35"/>
      <c r="IV35"/>
    </row>
    <row r="36" spans="2:256" ht="12">
      <c r="B36"/>
      <c r="C36" s="100"/>
      <c r="D36"/>
      <c r="E36"/>
      <c r="F36" s="33"/>
      <c r="G36"/>
      <c r="IV36"/>
    </row>
    <row r="37" spans="2:256" ht="12">
      <c r="B37"/>
      <c r="C37" s="100"/>
      <c r="D37"/>
      <c r="E37"/>
      <c r="F37" s="33"/>
      <c r="G37"/>
      <c r="IV37"/>
    </row>
    <row r="38" spans="2:256" ht="12">
      <c r="B38"/>
      <c r="C38" s="100"/>
      <c r="D38"/>
      <c r="E38"/>
      <c r="F38" s="33"/>
      <c r="G38"/>
      <c r="IV38"/>
    </row>
    <row r="39" spans="2:256" ht="12">
      <c r="B39"/>
      <c r="C39" s="100"/>
      <c r="D39"/>
      <c r="E39"/>
      <c r="F39" s="33"/>
      <c r="G39"/>
      <c r="IV39"/>
    </row>
    <row r="40" spans="2:256" ht="12">
      <c r="B40"/>
      <c r="C40" s="100"/>
      <c r="D40"/>
      <c r="E40"/>
      <c r="F40" s="33"/>
      <c r="G40"/>
      <c r="IV40"/>
    </row>
    <row r="41" spans="2:256" ht="12">
      <c r="B41"/>
      <c r="C41" s="100"/>
      <c r="D41"/>
      <c r="E41"/>
      <c r="F41" s="33"/>
      <c r="G41"/>
      <c r="IV41"/>
    </row>
    <row r="42" spans="2:256" ht="12">
      <c r="B42"/>
      <c r="C42" s="100"/>
      <c r="D42"/>
      <c r="E42"/>
      <c r="F42" s="33"/>
      <c r="G42"/>
      <c r="J42" s="99"/>
      <c r="IV42"/>
    </row>
    <row r="43" spans="2:256" ht="12">
      <c r="B43"/>
      <c r="C43" s="100"/>
      <c r="D43"/>
      <c r="E43"/>
      <c r="F43" s="33"/>
      <c r="G43"/>
      <c r="IV43"/>
    </row>
    <row r="44" spans="2:256" ht="12">
      <c r="B44"/>
      <c r="C44" s="100"/>
      <c r="D44"/>
      <c r="E44"/>
      <c r="F44" s="33"/>
      <c r="G44"/>
      <c r="J44" s="99"/>
      <c r="IV44"/>
    </row>
    <row r="45" spans="2:256" ht="12">
      <c r="B45"/>
      <c r="C45" s="100"/>
      <c r="D45"/>
      <c r="E45"/>
      <c r="F45" s="33"/>
      <c r="G45"/>
      <c r="J45" s="99"/>
      <c r="M45" s="113"/>
      <c r="N45" s="99"/>
      <c r="IV45"/>
    </row>
    <row r="46" spans="2:256" ht="12">
      <c r="B46"/>
      <c r="C46" s="100"/>
      <c r="D46"/>
      <c r="E46"/>
      <c r="F46" s="33"/>
      <c r="G46"/>
      <c r="J46" s="99"/>
      <c r="IV46"/>
    </row>
    <row r="47" spans="2:256" ht="12">
      <c r="B47"/>
      <c r="C47" s="100"/>
      <c r="D47"/>
      <c r="E47"/>
      <c r="F47" s="33"/>
      <c r="G47"/>
      <c r="IV47"/>
    </row>
    <row r="48" spans="2:256" ht="12">
      <c r="B48"/>
      <c r="C48" s="100"/>
      <c r="D48"/>
      <c r="E48"/>
      <c r="F48" s="33"/>
      <c r="G48"/>
      <c r="IV48"/>
    </row>
    <row r="49" spans="2:256" ht="12">
      <c r="B49"/>
      <c r="C49" s="100"/>
      <c r="D49"/>
      <c r="E49"/>
      <c r="F49" s="33"/>
      <c r="G49"/>
      <c r="J49" s="99"/>
      <c r="IV49"/>
    </row>
    <row r="50" spans="2:256" ht="12">
      <c r="B50"/>
      <c r="C50" s="100"/>
      <c r="D50"/>
      <c r="E50"/>
      <c r="F50" s="33"/>
      <c r="G50"/>
      <c r="IV50"/>
    </row>
    <row r="51" spans="2:256" ht="12">
      <c r="B51"/>
      <c r="C51" s="100"/>
      <c r="D51"/>
      <c r="E51"/>
      <c r="F51" s="33"/>
      <c r="G51" s="116"/>
      <c r="IV51"/>
    </row>
    <row r="52" spans="2:256" ht="12">
      <c r="B52"/>
      <c r="C52" s="100"/>
      <c r="D52"/>
      <c r="E52"/>
      <c r="F52" s="33"/>
      <c r="G52"/>
      <c r="IV52"/>
    </row>
    <row r="53" spans="2:256" ht="12">
      <c r="B53"/>
      <c r="C53" s="100"/>
      <c r="D53"/>
      <c r="E53"/>
      <c r="F53" s="33"/>
      <c r="G53"/>
      <c r="IV53"/>
    </row>
    <row r="54" spans="2:256" ht="12">
      <c r="B54"/>
      <c r="C54" s="100"/>
      <c r="D54"/>
      <c r="E54"/>
      <c r="F54" s="33"/>
      <c r="G54"/>
      <c r="IV54"/>
    </row>
    <row r="55" spans="2:256" ht="12">
      <c r="B55"/>
      <c r="C55" s="100"/>
      <c r="D55"/>
      <c r="E55"/>
      <c r="F55" s="33"/>
      <c r="G55"/>
      <c r="IV55"/>
    </row>
    <row r="56" spans="2:256" ht="12">
      <c r="B56"/>
      <c r="C56" s="100"/>
      <c r="D56"/>
      <c r="E56"/>
      <c r="F56" s="33"/>
      <c r="G56"/>
      <c r="IV56"/>
    </row>
    <row r="57" spans="2:256" ht="12">
      <c r="B57"/>
      <c r="C57" s="100"/>
      <c r="D57"/>
      <c r="E57"/>
      <c r="F57" s="33"/>
      <c r="G57"/>
      <c r="IV57"/>
    </row>
    <row r="58" spans="2:256" ht="12">
      <c r="B58"/>
      <c r="C58" s="100"/>
      <c r="D58"/>
      <c r="E58"/>
      <c r="F58" s="33"/>
      <c r="G58"/>
      <c r="J58" s="99"/>
      <c r="IV58"/>
    </row>
    <row r="59" spans="2:256" ht="12">
      <c r="B59"/>
      <c r="C59" s="100"/>
      <c r="D59"/>
      <c r="E59"/>
      <c r="F59" s="33"/>
      <c r="G59"/>
      <c r="IV59"/>
    </row>
    <row r="60" spans="2:256" ht="12">
      <c r="B60"/>
      <c r="C60" s="100"/>
      <c r="D60"/>
      <c r="E60"/>
      <c r="F60" s="33"/>
      <c r="G60"/>
      <c r="IV60"/>
    </row>
    <row r="61" spans="2:256" ht="12">
      <c r="B61"/>
      <c r="C61" s="100"/>
      <c r="D61"/>
      <c r="E61"/>
      <c r="F61" s="33"/>
      <c r="G61"/>
      <c r="J61" s="99"/>
      <c r="IV61"/>
    </row>
    <row r="62" spans="2:256" ht="12">
      <c r="B62"/>
      <c r="C62" s="100"/>
      <c r="D62"/>
      <c r="E62"/>
      <c r="F62" s="33"/>
      <c r="G62"/>
      <c r="J62" s="99"/>
      <c r="IV62"/>
    </row>
    <row r="63" spans="2:256" ht="12">
      <c r="B63"/>
      <c r="C63" s="100"/>
      <c r="D63"/>
      <c r="E63"/>
      <c r="F63" s="33"/>
      <c r="G63"/>
      <c r="J63" s="99"/>
      <c r="IV63"/>
    </row>
    <row r="64" spans="2:256" ht="12">
      <c r="B64"/>
      <c r="C64" s="100"/>
      <c r="D64"/>
      <c r="E64"/>
      <c r="F64" s="33"/>
      <c r="G64"/>
      <c r="J64" s="99"/>
      <c r="IV64"/>
    </row>
    <row r="65" spans="2:256" ht="12">
      <c r="B65"/>
      <c r="C65" s="100"/>
      <c r="D65"/>
      <c r="E65"/>
      <c r="F65" s="33"/>
      <c r="G65"/>
      <c r="IV65"/>
    </row>
    <row r="66" spans="2:256" ht="12">
      <c r="B66"/>
      <c r="C66" s="100"/>
      <c r="D66"/>
      <c r="E66"/>
      <c r="F66" s="33"/>
      <c r="G66"/>
      <c r="IV66"/>
    </row>
    <row r="67" spans="2:256" ht="12">
      <c r="B67"/>
      <c r="C67" s="100"/>
      <c r="D67"/>
      <c r="E67"/>
      <c r="F67" s="33"/>
      <c r="G67"/>
      <c r="IV67"/>
    </row>
    <row r="68" spans="2:256" ht="12">
      <c r="B68"/>
      <c r="C68" s="100"/>
      <c r="D68"/>
      <c r="E68"/>
      <c r="F68" s="33"/>
      <c r="G68"/>
      <c r="IV68"/>
    </row>
    <row r="69" spans="2:256" ht="12">
      <c r="B69"/>
      <c r="C69" s="100"/>
      <c r="D69"/>
      <c r="E69"/>
      <c r="F69" s="33"/>
      <c r="G69"/>
      <c r="IV69"/>
    </row>
    <row r="70" spans="2:256" ht="12">
      <c r="B70"/>
      <c r="C70" s="100"/>
      <c r="D70"/>
      <c r="E70"/>
      <c r="F70" s="33"/>
      <c r="G70"/>
      <c r="IV70"/>
    </row>
    <row r="71" spans="2:256" ht="12">
      <c r="B71"/>
      <c r="C71" s="100"/>
      <c r="D71"/>
      <c r="E71"/>
      <c r="F71" s="33"/>
      <c r="G71"/>
      <c r="IV71"/>
    </row>
    <row r="72" spans="2:256" ht="12">
      <c r="B72"/>
      <c r="C72" s="100"/>
      <c r="D72"/>
      <c r="E72"/>
      <c r="F72" s="33"/>
      <c r="G72"/>
      <c r="IV72"/>
    </row>
    <row r="73" spans="2:256" ht="12">
      <c r="B73"/>
      <c r="C73" s="100"/>
      <c r="D73"/>
      <c r="E73"/>
      <c r="F73" s="33"/>
      <c r="G73"/>
      <c r="IV73"/>
    </row>
    <row r="74" spans="2:256" ht="12">
      <c r="B74"/>
      <c r="C74" s="100"/>
      <c r="D74"/>
      <c r="E74"/>
      <c r="F74" s="33"/>
      <c r="G74"/>
      <c r="IV74"/>
    </row>
    <row r="75" spans="2:256" ht="12">
      <c r="B75"/>
      <c r="C75" s="100"/>
      <c r="D75"/>
      <c r="E75"/>
      <c r="F75" s="33"/>
      <c r="G75"/>
      <c r="IV75"/>
    </row>
    <row r="76" spans="2:256" ht="12">
      <c r="B76"/>
      <c r="C76" s="100"/>
      <c r="D76"/>
      <c r="E76"/>
      <c r="F76" s="33"/>
      <c r="G76"/>
      <c r="IV76"/>
    </row>
    <row r="77" spans="2:256" ht="12">
      <c r="B77"/>
      <c r="C77" s="100"/>
      <c r="D77"/>
      <c r="E77"/>
      <c r="F77" s="33"/>
      <c r="G77"/>
      <c r="IV77"/>
    </row>
    <row r="78" spans="2:256" ht="12">
      <c r="B78"/>
      <c r="C78" s="100"/>
      <c r="D78"/>
      <c r="E78"/>
      <c r="F78" s="33"/>
      <c r="G78"/>
      <c r="IV78"/>
    </row>
    <row r="79" spans="2:256" ht="12">
      <c r="B79"/>
      <c r="C79" s="100"/>
      <c r="D79"/>
      <c r="E79"/>
      <c r="F79" s="33"/>
      <c r="G79"/>
      <c r="IV79"/>
    </row>
    <row r="80" spans="2:256" ht="12">
      <c r="B80"/>
      <c r="C80" s="100"/>
      <c r="D80"/>
      <c r="E80"/>
      <c r="F80" s="33"/>
      <c r="G80"/>
      <c r="IV80"/>
    </row>
    <row r="81" spans="2:256" ht="12">
      <c r="B81"/>
      <c r="C81" s="100"/>
      <c r="D81"/>
      <c r="E81"/>
      <c r="F81" s="33"/>
      <c r="G81"/>
      <c r="IV81"/>
    </row>
    <row r="82" spans="2:256" ht="12">
      <c r="B82"/>
      <c r="C82" s="100"/>
      <c r="D82"/>
      <c r="E82"/>
      <c r="F82" s="33"/>
      <c r="G82"/>
      <c r="IV82"/>
    </row>
    <row r="83" spans="2:8" ht="12">
      <c r="B83"/>
      <c r="C83" s="100"/>
      <c r="D83"/>
      <c r="E83"/>
      <c r="F83" s="33"/>
      <c r="G83"/>
      <c r="H83"/>
    </row>
    <row r="84" spans="2:7" ht="12">
      <c r="B84"/>
      <c r="C84" s="100"/>
      <c r="D84"/>
      <c r="E84"/>
      <c r="F84" s="33"/>
      <c r="G84"/>
    </row>
    <row r="85" spans="2:7" ht="12">
      <c r="B85"/>
      <c r="C85" s="100"/>
      <c r="D85"/>
      <c r="E85"/>
      <c r="F85" s="33"/>
      <c r="G85"/>
    </row>
    <row r="86" spans="2:7" ht="12">
      <c r="B86"/>
      <c r="C86" s="100"/>
      <c r="D86"/>
      <c r="E86"/>
      <c r="F86" s="33"/>
      <c r="G86"/>
    </row>
    <row r="87" spans="2:7" ht="12">
      <c r="B87"/>
      <c r="C87" s="117"/>
      <c r="D87" s="116"/>
      <c r="E87" s="116"/>
      <c r="F87" s="118"/>
      <c r="G87"/>
    </row>
    <row r="88" spans="2:7" ht="12">
      <c r="B88"/>
      <c r="C88" s="100"/>
      <c r="D88"/>
      <c r="E88"/>
      <c r="F88" s="33"/>
      <c r="G88"/>
    </row>
    <row r="89" spans="2:7" ht="12">
      <c r="B89"/>
      <c r="C89" s="100"/>
      <c r="D89"/>
      <c r="E89"/>
      <c r="F89" s="33"/>
      <c r="G89"/>
    </row>
    <row r="90" spans="2:7" ht="12">
      <c r="B90"/>
      <c r="C90" s="100"/>
      <c r="D90"/>
      <c r="E90"/>
      <c r="F90" s="33"/>
      <c r="G90"/>
    </row>
    <row r="91" spans="2:7" ht="12">
      <c r="B91"/>
      <c r="C91" s="100"/>
      <c r="D91"/>
      <c r="E91"/>
      <c r="F91" s="33"/>
      <c r="G91"/>
    </row>
    <row r="92" spans="2:7" ht="12">
      <c r="B92"/>
      <c r="C92" s="100"/>
      <c r="D92"/>
      <c r="E92"/>
      <c r="F92" s="33"/>
      <c r="G92"/>
    </row>
    <row r="93" spans="2:7" ht="12">
      <c r="B93"/>
      <c r="C93" s="100"/>
      <c r="D93"/>
      <c r="E93"/>
      <c r="F93" s="33"/>
      <c r="G93"/>
    </row>
    <row r="94" spans="2:7" ht="12">
      <c r="B94"/>
      <c r="C94" s="100"/>
      <c r="D94"/>
      <c r="E94"/>
      <c r="F94" s="33"/>
      <c r="G94"/>
    </row>
    <row r="95" spans="2:7" ht="12">
      <c r="B95"/>
      <c r="C95" s="100"/>
      <c r="D95"/>
      <c r="E95"/>
      <c r="F95" s="33"/>
      <c r="G95"/>
    </row>
    <row r="96" spans="2:7" ht="12">
      <c r="B96"/>
      <c r="C96" s="100"/>
      <c r="D96"/>
      <c r="E96"/>
      <c r="F96" s="33"/>
      <c r="G96"/>
    </row>
    <row r="97" spans="2:7" ht="12">
      <c r="B97"/>
      <c r="C97" s="100"/>
      <c r="D97"/>
      <c r="E97"/>
      <c r="F97" s="33"/>
      <c r="G97"/>
    </row>
    <row r="98" spans="2:7" ht="12">
      <c r="B98"/>
      <c r="C98" s="100"/>
      <c r="D98"/>
      <c r="E98"/>
      <c r="F98" s="33"/>
      <c r="G98"/>
    </row>
    <row r="99" spans="2:7" ht="12">
      <c r="B99"/>
      <c r="C99"/>
      <c r="D99"/>
      <c r="E99"/>
      <c r="F99"/>
      <c r="G99"/>
    </row>
    <row r="100" spans="2:7" s="105" customFormat="1" ht="12">
      <c r="B100"/>
      <c r="C100" s="119"/>
      <c r="F100" s="120"/>
      <c r="G100" s="106"/>
    </row>
    <row r="101" spans="2:7" s="105" customFormat="1" ht="12">
      <c r="B101"/>
      <c r="C101" s="119"/>
      <c r="F101" s="121"/>
      <c r="G101" s="106"/>
    </row>
    <row r="102" spans="2:7" s="105" customFormat="1" ht="12">
      <c r="B102"/>
      <c r="C102" s="119"/>
      <c r="F102" s="120"/>
      <c r="G102" s="106"/>
    </row>
    <row r="103" spans="2:7" s="105" customFormat="1" ht="12">
      <c r="B103"/>
      <c r="C103" s="119"/>
      <c r="F103" s="120"/>
      <c r="G103" s="106"/>
    </row>
    <row r="104" spans="2:7" s="105" customFormat="1" ht="12">
      <c r="B104"/>
      <c r="C104" s="119"/>
      <c r="F104" s="120"/>
      <c r="G104" s="106"/>
    </row>
    <row r="105" spans="2:7" s="105" customFormat="1" ht="12">
      <c r="B105"/>
      <c r="C105" s="119"/>
      <c r="F105" s="120"/>
      <c r="G105" s="106"/>
    </row>
    <row r="106" spans="2:7" s="105" customFormat="1" ht="12">
      <c r="B106"/>
      <c r="C106" s="119"/>
      <c r="F106" s="120"/>
      <c r="G106" s="106"/>
    </row>
    <row r="107" spans="2:7" s="105" customFormat="1" ht="12">
      <c r="B107"/>
      <c r="C107" s="119"/>
      <c r="F107" s="121"/>
      <c r="G107" s="106"/>
    </row>
    <row r="108" spans="2:7" s="105" customFormat="1" ht="12">
      <c r="B108"/>
      <c r="C108" s="119"/>
      <c r="F108" s="120"/>
      <c r="G108" s="106"/>
    </row>
    <row r="109" spans="2:7" s="105" customFormat="1" ht="12">
      <c r="B109"/>
      <c r="C109" s="119"/>
      <c r="F109" s="120"/>
      <c r="G109" s="106"/>
    </row>
    <row r="110" spans="2:7" s="105" customFormat="1" ht="12">
      <c r="B110"/>
      <c r="C110" s="119"/>
      <c r="F110" s="120"/>
      <c r="G110" s="106"/>
    </row>
    <row r="111" spans="2:7" s="105" customFormat="1" ht="12">
      <c r="B111"/>
      <c r="C111" s="119"/>
      <c r="F111" s="120"/>
      <c r="G111" s="106"/>
    </row>
    <row r="112" spans="2:7" s="105" customFormat="1" ht="12">
      <c r="B112"/>
      <c r="C112" s="119"/>
      <c r="F112" s="120"/>
      <c r="G112" s="106"/>
    </row>
    <row r="113" spans="2:7" s="105" customFormat="1" ht="12">
      <c r="B113" s="119"/>
      <c r="C113" s="119"/>
      <c r="F113" s="120"/>
      <c r="G113" s="106"/>
    </row>
    <row r="114" spans="2:7" s="105" customFormat="1" ht="12">
      <c r="B114" s="119"/>
      <c r="C114" s="119"/>
      <c r="F114" s="120"/>
      <c r="G114" s="106"/>
    </row>
    <row r="115" spans="2:7" s="105" customFormat="1" ht="12">
      <c r="B115" s="119"/>
      <c r="C115" s="119"/>
      <c r="F115" s="120"/>
      <c r="G115" s="106"/>
    </row>
    <row r="116" spans="2:7" s="105" customFormat="1" ht="12">
      <c r="B116" s="119"/>
      <c r="C116" s="119"/>
      <c r="F116" s="120"/>
      <c r="G116" s="106"/>
    </row>
    <row r="117" spans="2:7" s="105" customFormat="1" ht="12">
      <c r="B117" s="119"/>
      <c r="C117" s="119"/>
      <c r="F117" s="121"/>
      <c r="G117" s="106"/>
    </row>
    <row r="118" spans="2:7" s="105" customFormat="1" ht="12">
      <c r="B118" s="119"/>
      <c r="C118" s="119"/>
      <c r="F118" s="120"/>
      <c r="G118" s="106"/>
    </row>
    <row r="119" spans="2:7" s="105" customFormat="1" ht="12">
      <c r="B119" s="119"/>
      <c r="C119" s="119"/>
      <c r="F119" s="120"/>
      <c r="G119" s="106"/>
    </row>
    <row r="120" spans="2:7" s="105" customFormat="1" ht="12">
      <c r="B120" s="119"/>
      <c r="C120" s="119"/>
      <c r="F120" s="120"/>
      <c r="G120" s="106"/>
    </row>
    <row r="121" spans="2:7" s="105" customFormat="1" ht="12">
      <c r="B121" s="119"/>
      <c r="C121" s="119"/>
      <c r="F121" s="120"/>
      <c r="G121" s="106"/>
    </row>
    <row r="122" spans="2:7" s="105" customFormat="1" ht="12">
      <c r="B122" s="119"/>
      <c r="C122" s="119"/>
      <c r="F122" s="120"/>
      <c r="G122" s="106"/>
    </row>
    <row r="123" spans="2:7" s="105" customFormat="1" ht="12">
      <c r="B123" s="119"/>
      <c r="C123" s="119"/>
      <c r="F123" s="120"/>
      <c r="G123" s="106"/>
    </row>
    <row r="124" spans="3:7" s="105" customFormat="1" ht="12">
      <c r="C124" s="119"/>
      <c r="F124" s="120"/>
      <c r="G124" s="106"/>
    </row>
    <row r="125" spans="3:7" s="105" customFormat="1" ht="12">
      <c r="C125" s="119"/>
      <c r="F125" s="120"/>
      <c r="G125" s="106"/>
    </row>
    <row r="126" spans="3:7" s="105" customFormat="1" ht="12">
      <c r="C126" s="119"/>
      <c r="F126" s="120"/>
      <c r="G126" s="106"/>
    </row>
    <row r="127" spans="3:7" s="105" customFormat="1" ht="12">
      <c r="C127" s="119"/>
      <c r="F127" s="120"/>
      <c r="G127" s="106"/>
    </row>
    <row r="128" spans="3:7" s="105" customFormat="1" ht="12">
      <c r="C128" s="119"/>
      <c r="F128" s="120"/>
      <c r="G128" s="106"/>
    </row>
  </sheetData>
  <printOptions/>
  <pageMargins left="0.7875" right="0.7875" top="0.788888888888889" bottom="0.8166666666666667" header="0.5513888888888889" footer="0.5513888888888889"/>
  <pageSetup horizontalDpi="300" verticalDpi="300" orientation="portrait" paperSize="5" scale="65"/>
  <headerFooter alignWithMargins="0">
    <oddHeader>&amp;C&amp;A</oddHeader>
    <oddFooter>&amp;CConfeccionado por Tesorería General&amp;R&amp;12(Provisorio)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89"/>
  <sheetViews>
    <sheetView zoomScale="110" zoomScaleNormal="110" zoomScaleSheetLayoutView="80" workbookViewId="0" topLeftCell="A70">
      <selection activeCell="H84" sqref="H84"/>
    </sheetView>
  </sheetViews>
  <sheetFormatPr defaultColWidth="10.00390625" defaultRowHeight="12.75"/>
  <cols>
    <col min="1" max="2" width="9.75390625" style="0" customWidth="1"/>
    <col min="3" max="3" width="0" style="0" hidden="1" customWidth="1"/>
    <col min="4" max="4" width="16.375" style="0" customWidth="1"/>
    <col min="5" max="6" width="15.375" style="0" customWidth="1"/>
    <col min="7" max="7" width="14.00390625" style="0" customWidth="1"/>
    <col min="8" max="8" width="15.50390625" style="0" customWidth="1"/>
    <col min="9" max="9" width="15.00390625" style="0" customWidth="1"/>
    <col min="10" max="10" width="15.25390625" style="0" customWidth="1"/>
    <col min="11" max="11" width="16.375" style="0" customWidth="1"/>
    <col min="12" max="16384" width="9.75390625" style="0" customWidth="1"/>
  </cols>
  <sheetData>
    <row r="1" ht="12">
      <c r="B1" s="51" t="s">
        <v>9</v>
      </c>
    </row>
    <row r="3" spans="2:11" ht="23.25">
      <c r="B3" s="122" t="s">
        <v>367</v>
      </c>
      <c r="C3" s="123" t="s">
        <v>368</v>
      </c>
      <c r="D3" s="122" t="s">
        <v>369</v>
      </c>
      <c r="E3" s="123" t="s">
        <v>370</v>
      </c>
      <c r="F3" s="122" t="s">
        <v>36</v>
      </c>
      <c r="G3" s="122" t="s">
        <v>371</v>
      </c>
      <c r="H3" s="122" t="s">
        <v>372</v>
      </c>
      <c r="I3" s="122" t="s">
        <v>373</v>
      </c>
      <c r="J3" s="122" t="s">
        <v>374</v>
      </c>
      <c r="K3" s="124" t="s">
        <v>375</v>
      </c>
    </row>
    <row r="4" spans="2:11" ht="12">
      <c r="B4" s="125">
        <v>39434</v>
      </c>
      <c r="C4" s="123"/>
      <c r="D4" s="62">
        <v>2045448.86</v>
      </c>
      <c r="E4" s="62">
        <v>550001.86</v>
      </c>
      <c r="F4" s="62">
        <v>0</v>
      </c>
      <c r="G4" s="62">
        <v>0</v>
      </c>
      <c r="H4" s="62">
        <v>0</v>
      </c>
      <c r="I4" s="62">
        <v>0</v>
      </c>
      <c r="J4" s="62">
        <v>0</v>
      </c>
      <c r="K4" s="126">
        <f>SUM(C4:J4)</f>
        <v>2595450.72</v>
      </c>
    </row>
    <row r="5" spans="2:11" ht="12">
      <c r="B5" s="125">
        <v>39435</v>
      </c>
      <c r="C5" s="123"/>
      <c r="D5" s="62">
        <v>45050.18</v>
      </c>
      <c r="E5" s="62">
        <v>189719.76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126">
        <f>SUM(C5:J5)</f>
        <v>234769.94</v>
      </c>
    </row>
    <row r="6" spans="2:11" ht="12">
      <c r="B6" s="125">
        <v>39436</v>
      </c>
      <c r="C6" s="123"/>
      <c r="D6" s="62">
        <v>19429644.63</v>
      </c>
      <c r="E6" s="62">
        <v>0</v>
      </c>
      <c r="F6" s="62">
        <v>19189</v>
      </c>
      <c r="G6" s="62">
        <v>80767.37</v>
      </c>
      <c r="H6" s="62">
        <v>916976.32</v>
      </c>
      <c r="I6" s="62">
        <v>0</v>
      </c>
      <c r="J6" s="62">
        <v>0</v>
      </c>
      <c r="K6" s="126">
        <f>SUM(C6:J6)</f>
        <v>20446577.32</v>
      </c>
    </row>
    <row r="7" spans="2:11" ht="12">
      <c r="B7" s="125">
        <v>39437</v>
      </c>
      <c r="C7" s="123"/>
      <c r="D7" s="62">
        <v>0</v>
      </c>
      <c r="E7" s="62">
        <v>378527.41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126">
        <f>SUM(C7:J7)</f>
        <v>378527.41</v>
      </c>
    </row>
    <row r="8" spans="2:11" ht="12">
      <c r="B8" s="125">
        <v>39442</v>
      </c>
      <c r="C8" s="123"/>
      <c r="D8" s="62">
        <v>380384.92</v>
      </c>
      <c r="E8" s="62">
        <v>746895.42</v>
      </c>
      <c r="F8" s="62">
        <v>0</v>
      </c>
      <c r="G8" s="62">
        <v>0</v>
      </c>
      <c r="H8" s="62">
        <v>0</v>
      </c>
      <c r="I8" s="62">
        <v>2198393.92</v>
      </c>
      <c r="J8" s="62">
        <v>7653129.87</v>
      </c>
      <c r="K8" s="126">
        <f>SUM(C8:J8)</f>
        <v>10978804.13</v>
      </c>
    </row>
    <row r="9" spans="2:11" ht="12">
      <c r="B9" s="125">
        <v>39443</v>
      </c>
      <c r="C9" s="123"/>
      <c r="D9" s="62">
        <v>162799.3</v>
      </c>
      <c r="E9" s="62">
        <v>0</v>
      </c>
      <c r="F9" s="62">
        <v>1301100</v>
      </c>
      <c r="G9" s="62">
        <v>40883.41</v>
      </c>
      <c r="H9" s="62">
        <v>15000</v>
      </c>
      <c r="I9" s="62">
        <v>0</v>
      </c>
      <c r="J9" s="62">
        <v>0</v>
      </c>
      <c r="K9" s="126">
        <f>SUM(C9:J9)</f>
        <v>1519782.71</v>
      </c>
    </row>
    <row r="10" spans="2:11" ht="12">
      <c r="B10" s="125">
        <v>39444</v>
      </c>
      <c r="C10" s="123"/>
      <c r="D10" s="62">
        <v>953376.02</v>
      </c>
      <c r="E10" s="62">
        <v>910223.86</v>
      </c>
      <c r="F10" s="62">
        <v>12516.03</v>
      </c>
      <c r="G10" s="62">
        <v>27256.32</v>
      </c>
      <c r="H10" s="62">
        <v>154414.82</v>
      </c>
      <c r="I10" s="62">
        <v>822814.96</v>
      </c>
      <c r="J10" s="62">
        <v>6492222.39</v>
      </c>
      <c r="K10" s="126">
        <f>SUM(C10:J10)</f>
        <v>9372824.399999999</v>
      </c>
    </row>
    <row r="11" spans="2:11" ht="12">
      <c r="B11" s="127" t="s">
        <v>376</v>
      </c>
      <c r="C11" s="126">
        <f>SUM(C8:C10)</f>
        <v>0</v>
      </c>
      <c r="D11" s="126">
        <f>SUM(D4:D10)</f>
        <v>23016703.91</v>
      </c>
      <c r="E11" s="126">
        <f>SUM(E4:E10)</f>
        <v>2775368.3099999996</v>
      </c>
      <c r="F11" s="126">
        <f>SUM(F4:F10)</f>
        <v>1332805.03</v>
      </c>
      <c r="G11" s="126">
        <f>SUM(G4:G10)</f>
        <v>148907.1</v>
      </c>
      <c r="H11" s="126">
        <f>SUM(H4:H10)</f>
        <v>1086391.14</v>
      </c>
      <c r="I11" s="126">
        <f>SUM(I4:I10)</f>
        <v>3021208.88</v>
      </c>
      <c r="J11" s="126">
        <f>SUM(J4:J10)</f>
        <v>14145352.26</v>
      </c>
      <c r="K11" s="126">
        <f>SUM(K4:K10)</f>
        <v>45526736.63</v>
      </c>
    </row>
    <row r="12" ht="9" customHeight="1"/>
    <row r="13" spans="2:11" ht="23.25">
      <c r="B13" s="122" t="s">
        <v>367</v>
      </c>
      <c r="C13" s="123" t="s">
        <v>368</v>
      </c>
      <c r="D13" s="122" t="s">
        <v>369</v>
      </c>
      <c r="E13" s="123" t="s">
        <v>370</v>
      </c>
      <c r="F13" s="122" t="s">
        <v>36</v>
      </c>
      <c r="G13" s="122" t="s">
        <v>371</v>
      </c>
      <c r="H13" s="122" t="s">
        <v>372</v>
      </c>
      <c r="I13" s="122" t="s">
        <v>373</v>
      </c>
      <c r="J13" s="122" t="s">
        <v>374</v>
      </c>
      <c r="K13" s="124" t="s">
        <v>375</v>
      </c>
    </row>
    <row r="14" spans="2:11" ht="12">
      <c r="B14" s="125">
        <v>39449</v>
      </c>
      <c r="C14" s="123"/>
      <c r="D14" s="62">
        <f>839.68+3504.04+1852.54+839.68+1891.01+3551.21+1970.92</f>
        <v>14449.08</v>
      </c>
      <c r="E14" s="62">
        <f>521033.63+17133.86+9211.75+152892.24+50204.94</f>
        <v>750476.4199999999</v>
      </c>
      <c r="F14" s="62">
        <f>12080.43+217.8*2</f>
        <v>12516.03</v>
      </c>
      <c r="G14" s="62">
        <f>8640+18616.32</f>
        <v>27256.32</v>
      </c>
      <c r="H14" s="62">
        <v>49414.82</v>
      </c>
      <c r="I14" s="62">
        <v>0</v>
      </c>
      <c r="J14" s="62">
        <v>0</v>
      </c>
      <c r="K14" s="126">
        <f>SUM(C14:J14)</f>
        <v>854112.6699999998</v>
      </c>
    </row>
    <row r="15" spans="2:11" ht="12">
      <c r="B15" s="125">
        <v>39450</v>
      </c>
      <c r="C15" s="123"/>
      <c r="D15" s="62">
        <v>0</v>
      </c>
      <c r="E15" s="62">
        <v>0</v>
      </c>
      <c r="F15" s="62">
        <f>12080.43+17365.62+12800+6000+1630</f>
        <v>49876.05</v>
      </c>
      <c r="G15" s="62">
        <f>189.77+627.82+4761.6+10598.4+30778.94+6935</f>
        <v>53891.53</v>
      </c>
      <c r="H15" s="62">
        <f>552658.19</f>
        <v>552658.19</v>
      </c>
      <c r="I15" s="62">
        <f>22966.7*2+2996.1*2+92.17+730.46+92.18+6805.1*2+3745.71+941.93*2+46507.85+35094.8+1322.51*2+155000*2+13000</f>
        <v>479327.85</v>
      </c>
      <c r="J15" s="62">
        <v>0</v>
      </c>
      <c r="K15" s="126">
        <f>SUM(C15:J15)</f>
        <v>1135753.6199999999</v>
      </c>
    </row>
    <row r="16" spans="2:11" ht="12">
      <c r="B16" s="125">
        <v>39451</v>
      </c>
      <c r="C16" s="123"/>
      <c r="D16" s="62">
        <v>0</v>
      </c>
      <c r="E16" s="62">
        <v>0</v>
      </c>
      <c r="F16" s="62">
        <v>0</v>
      </c>
      <c r="G16" s="62">
        <f>49976.39+5952</f>
        <v>55928.39</v>
      </c>
      <c r="H16" s="62">
        <v>56650.68</v>
      </c>
      <c r="I16" s="62">
        <f>1163975.6292</f>
        <v>1163975.6292</v>
      </c>
      <c r="J16" s="62">
        <v>0</v>
      </c>
      <c r="K16" s="126">
        <f>SUM(C16:J16)</f>
        <v>1276554.6992</v>
      </c>
    </row>
    <row r="17" spans="2:11" ht="12">
      <c r="B17" s="125">
        <v>39454</v>
      </c>
      <c r="C17" s="123"/>
      <c r="D17" s="62">
        <v>0</v>
      </c>
      <c r="E17" s="62">
        <v>0</v>
      </c>
      <c r="F17" s="62">
        <v>5000</v>
      </c>
      <c r="G17" s="62">
        <f>32305-5000</f>
        <v>27305</v>
      </c>
      <c r="H17" s="62">
        <v>20000</v>
      </c>
      <c r="I17" s="62">
        <f>400000*2+20000</f>
        <v>820000</v>
      </c>
      <c r="J17" s="62">
        <v>0</v>
      </c>
      <c r="K17" s="126">
        <f>SUM(C17:J17)</f>
        <v>872305</v>
      </c>
    </row>
    <row r="18" spans="2:11" ht="12">
      <c r="B18" s="125">
        <v>39455</v>
      </c>
      <c r="C18" s="123"/>
      <c r="D18" s="62">
        <v>0</v>
      </c>
      <c r="E18" s="62">
        <v>100733.33</v>
      </c>
      <c r="F18" s="62">
        <f>272700.7+457735.8+22650.82+11325.41+1881</f>
        <v>766293.73</v>
      </c>
      <c r="G18" s="62">
        <f>48148.94+5671.83+4983.75</f>
        <v>58804.520000000004</v>
      </c>
      <c r="H18" s="62">
        <f>50000+50000</f>
        <v>100000</v>
      </c>
      <c r="I18" s="62">
        <f>80000*2+7500</f>
        <v>167500</v>
      </c>
      <c r="J18" s="62">
        <v>0</v>
      </c>
      <c r="K18" s="126">
        <f>SUM(C18:J18)</f>
        <v>1193331.58</v>
      </c>
    </row>
    <row r="19" spans="2:11" ht="12">
      <c r="B19" s="125">
        <v>39456</v>
      </c>
      <c r="C19" s="123"/>
      <c r="D19" s="62">
        <v>0</v>
      </c>
      <c r="E19" s="62">
        <v>0</v>
      </c>
      <c r="F19" s="62">
        <v>266424.68</v>
      </c>
      <c r="G19" s="62">
        <f>82954.92+3484.8</f>
        <v>86439.72</v>
      </c>
      <c r="H19" s="62">
        <v>70000</v>
      </c>
      <c r="I19" s="62">
        <f>380000+79580.43+1047.42+82290.55+139750.93+3000</f>
        <v>685669.3300000001</v>
      </c>
      <c r="J19" s="62">
        <v>0</v>
      </c>
      <c r="K19" s="126">
        <f>SUM(C19:J19)</f>
        <v>1108533.73</v>
      </c>
    </row>
    <row r="20" spans="2:11" ht="12">
      <c r="B20" s="125">
        <v>39457</v>
      </c>
      <c r="C20" s="123"/>
      <c r="D20" s="62">
        <f>24372162.44+146000+800000+586000</f>
        <v>25904162.44</v>
      </c>
      <c r="E20" s="62">
        <v>367107.5</v>
      </c>
      <c r="F20" s="62">
        <v>0</v>
      </c>
      <c r="G20" s="62">
        <f>43244.26+44249.2+20000</f>
        <v>107493.45999999999</v>
      </c>
      <c r="H20" s="62">
        <f>60515.58+30000+19537.1+30000+48772.31+26000+208000</f>
        <v>422824.99</v>
      </c>
      <c r="I20" s="62">
        <f>77330.66+396931.66+108.79+126.18+9000+150578.98+22098.6+87471.6+87118.8+3860.01+48872.01+75425.49+81441.81</f>
        <v>1040364.5899999999</v>
      </c>
      <c r="J20" s="62">
        <v>0</v>
      </c>
      <c r="K20" s="126">
        <f>SUM(C20:J20)</f>
        <v>27841952.98</v>
      </c>
    </row>
    <row r="21" spans="2:11" ht="12">
      <c r="B21" s="125">
        <v>39458</v>
      </c>
      <c r="C21" s="123"/>
      <c r="D21" s="62">
        <f>4699.32+3133.06+2344.65+132000</f>
        <v>142177.03</v>
      </c>
      <c r="E21" s="62">
        <v>587392.81</v>
      </c>
      <c r="F21" s="62">
        <f>182620.53+106460.04+20000+40000+20000+20000+20000</f>
        <v>409080.57</v>
      </c>
      <c r="G21" s="62">
        <f>81.91</f>
        <v>81.91</v>
      </c>
      <c r="H21" s="62">
        <f>10000+40000</f>
        <v>50000</v>
      </c>
      <c r="I21" s="62">
        <f>22098.6+79580.44+1047.42+77330.67+419701.22+15153.98+248705.66+381742.69</f>
        <v>1245360.68</v>
      </c>
      <c r="J21" s="62">
        <v>0</v>
      </c>
      <c r="K21" s="126">
        <f>SUM(C21:J21)</f>
        <v>2434093</v>
      </c>
    </row>
    <row r="22" spans="2:11" ht="12">
      <c r="B22" s="125">
        <v>39461</v>
      </c>
      <c r="C22" s="123"/>
      <c r="D22" s="62">
        <f>201536.51+162540.57</f>
        <v>364077.08</v>
      </c>
      <c r="E22" s="62">
        <f>486340.23+486336.94</f>
        <v>972677.1699999999</v>
      </c>
      <c r="F22" s="62">
        <v>0</v>
      </c>
      <c r="G22" s="62">
        <v>0</v>
      </c>
      <c r="H22" s="62">
        <v>100000</v>
      </c>
      <c r="I22" s="62">
        <v>1421231.44</v>
      </c>
      <c r="J22" s="62">
        <v>0</v>
      </c>
      <c r="K22" s="126">
        <f>SUM(C22:J22)</f>
        <v>2857985.69</v>
      </c>
    </row>
    <row r="23" spans="2:11" ht="12">
      <c r="B23" s="125">
        <v>39462</v>
      </c>
      <c r="C23" s="123"/>
      <c r="D23" s="62">
        <f>102749.99</f>
        <v>102749.99</v>
      </c>
      <c r="E23" s="62">
        <v>0</v>
      </c>
      <c r="F23" s="62">
        <v>20000</v>
      </c>
      <c r="G23" s="62">
        <v>233344.98</v>
      </c>
      <c r="H23" s="62">
        <v>95000</v>
      </c>
      <c r="I23" s="62">
        <v>0</v>
      </c>
      <c r="J23" s="62">
        <v>0</v>
      </c>
      <c r="K23" s="126">
        <f>SUM(C23:J23)</f>
        <v>451094.97</v>
      </c>
    </row>
    <row r="24" spans="2:11" ht="12">
      <c r="B24" s="125">
        <v>39463</v>
      </c>
      <c r="C24" s="123"/>
      <c r="D24" s="62">
        <v>1920</v>
      </c>
      <c r="E24" s="62">
        <v>620766.21</v>
      </c>
      <c r="F24" s="62">
        <v>0</v>
      </c>
      <c r="G24" s="62">
        <v>46088.65</v>
      </c>
      <c r="H24" s="62">
        <v>50000</v>
      </c>
      <c r="I24" s="62">
        <v>2508779.42</v>
      </c>
      <c r="J24" s="62">
        <v>0</v>
      </c>
      <c r="K24" s="126">
        <f>SUM(C24:J24)</f>
        <v>3227554.28</v>
      </c>
    </row>
    <row r="25" spans="2:11" ht="12">
      <c r="B25" s="125">
        <v>39464</v>
      </c>
      <c r="C25" s="123"/>
      <c r="D25" s="62">
        <v>408745</v>
      </c>
      <c r="E25" s="62">
        <v>121079.38</v>
      </c>
      <c r="F25" s="62">
        <v>0</v>
      </c>
      <c r="G25" s="62">
        <v>24673.61</v>
      </c>
      <c r="H25" s="62">
        <v>161255</v>
      </c>
      <c r="I25" s="62">
        <v>0</v>
      </c>
      <c r="J25" s="62">
        <v>0</v>
      </c>
      <c r="K25" s="126">
        <f>SUM(C25:J25)</f>
        <v>715752.99</v>
      </c>
    </row>
    <row r="26" spans="2:11" ht="12">
      <c r="B26" s="125">
        <v>39465</v>
      </c>
      <c r="C26" s="62">
        <v>0</v>
      </c>
      <c r="D26" s="62">
        <v>33847740.97</v>
      </c>
      <c r="E26" s="62">
        <v>0</v>
      </c>
      <c r="F26" s="62">
        <v>1800</v>
      </c>
      <c r="G26" s="62">
        <v>32435.97</v>
      </c>
      <c r="H26" s="62">
        <f>135205.76+136650.68</f>
        <v>271856.44</v>
      </c>
      <c r="I26" s="62">
        <v>4320744.79</v>
      </c>
      <c r="J26" s="62">
        <v>0</v>
      </c>
      <c r="K26" s="126">
        <f>SUM(C26:J26)</f>
        <v>38474578.17</v>
      </c>
    </row>
    <row r="27" spans="2:11" ht="12">
      <c r="B27" s="125">
        <v>39468</v>
      </c>
      <c r="C27" s="62">
        <v>0</v>
      </c>
      <c r="D27" s="62">
        <v>254089.39</v>
      </c>
      <c r="E27" s="62">
        <f>253290.64+98157.45+24126.87</f>
        <v>375574.96</v>
      </c>
      <c r="F27" s="62">
        <v>20000</v>
      </c>
      <c r="G27" s="62">
        <v>0</v>
      </c>
      <c r="H27" s="62">
        <v>1282002.1</v>
      </c>
      <c r="I27" s="62">
        <v>1410613.34</v>
      </c>
      <c r="J27" s="62">
        <f>11281764.98</f>
        <v>11281764.98</v>
      </c>
      <c r="K27" s="126">
        <f>SUM(C27:J27)</f>
        <v>14624044.770000001</v>
      </c>
    </row>
    <row r="28" spans="2:11" ht="12">
      <c r="B28" s="125">
        <v>39469</v>
      </c>
      <c r="C28" s="62">
        <v>0</v>
      </c>
      <c r="D28" s="62">
        <f>724730.62+255855.62</f>
        <v>980586.24</v>
      </c>
      <c r="E28" s="62">
        <f>355668.06+101497.22+153725.5+485895.59+211397.82+10112.96+42084.11+42612.89</f>
        <v>1402994.1500000001</v>
      </c>
      <c r="F28" s="62">
        <v>2566639.19</v>
      </c>
      <c r="G28" s="62">
        <v>25192.09</v>
      </c>
      <c r="H28" s="62">
        <v>80950</v>
      </c>
      <c r="I28" s="62">
        <v>6311787.44</v>
      </c>
      <c r="J28" s="62">
        <v>24461.65</v>
      </c>
      <c r="K28" s="126">
        <f>SUM(C28:J28)</f>
        <v>11392610.760000002</v>
      </c>
    </row>
    <row r="29" spans="2:11" ht="12">
      <c r="B29" s="125">
        <v>39470</v>
      </c>
      <c r="C29" s="62">
        <v>0</v>
      </c>
      <c r="D29" s="62">
        <v>15940.08</v>
      </c>
      <c r="E29" s="62">
        <f>673050.71+305584.86</f>
        <v>978635.57</v>
      </c>
      <c r="F29" s="62">
        <v>26342.8</v>
      </c>
      <c r="G29" s="62">
        <v>13463.52</v>
      </c>
      <c r="H29" s="62">
        <v>15000</v>
      </c>
      <c r="I29" s="62">
        <v>2510243.78</v>
      </c>
      <c r="J29" s="62">
        <v>0</v>
      </c>
      <c r="K29" s="126">
        <f>SUM(C29:J29)</f>
        <v>3559625.75</v>
      </c>
    </row>
    <row r="30" spans="2:11" ht="12">
      <c r="B30" s="125">
        <v>39471</v>
      </c>
      <c r="C30" s="62">
        <v>0</v>
      </c>
      <c r="D30" s="62">
        <v>251666.86</v>
      </c>
      <c r="E30" s="62">
        <v>0</v>
      </c>
      <c r="F30" s="62">
        <v>0</v>
      </c>
      <c r="G30" s="62">
        <v>165878.02</v>
      </c>
      <c r="H30" s="62">
        <v>0</v>
      </c>
      <c r="I30" s="62">
        <v>2014091.82</v>
      </c>
      <c r="J30" s="62">
        <v>0</v>
      </c>
      <c r="K30" s="126">
        <f>SUM(C30:J30)</f>
        <v>2431636.6999999997</v>
      </c>
    </row>
    <row r="31" spans="2:11" ht="12">
      <c r="B31" s="125">
        <v>39472</v>
      </c>
      <c r="C31" s="62"/>
      <c r="D31" s="62">
        <v>537535.37</v>
      </c>
      <c r="E31" s="62">
        <v>0</v>
      </c>
      <c r="F31" s="62">
        <v>228299.69</v>
      </c>
      <c r="G31" s="62">
        <v>10932.91</v>
      </c>
      <c r="H31" s="62">
        <v>87866.73</v>
      </c>
      <c r="I31" s="62">
        <v>1381395.67</v>
      </c>
      <c r="J31" s="62">
        <v>0</v>
      </c>
      <c r="K31" s="126">
        <f>SUM(C31:J31)</f>
        <v>2246030.37</v>
      </c>
    </row>
    <row r="32" spans="2:11" ht="12">
      <c r="B32" s="125">
        <v>39475</v>
      </c>
      <c r="C32" s="62"/>
      <c r="D32" s="62">
        <v>4000</v>
      </c>
      <c r="E32" s="62">
        <v>0</v>
      </c>
      <c r="F32" s="62">
        <v>0</v>
      </c>
      <c r="G32" s="62">
        <v>4000</v>
      </c>
      <c r="H32" s="62">
        <v>73325.34</v>
      </c>
      <c r="I32" s="62">
        <v>1454047.78</v>
      </c>
      <c r="J32" s="62">
        <v>0</v>
      </c>
      <c r="K32" s="126">
        <f>SUM(C32:J32)</f>
        <v>1535373.12</v>
      </c>
    </row>
    <row r="33" spans="2:11" ht="12">
      <c r="B33" s="125">
        <v>39476</v>
      </c>
      <c r="C33" s="62"/>
      <c r="D33" s="62">
        <v>14466.37</v>
      </c>
      <c r="E33" s="62"/>
      <c r="F33" s="62">
        <v>1342.86</v>
      </c>
      <c r="G33" s="62">
        <v>13968.66</v>
      </c>
      <c r="H33" s="62">
        <v>20000</v>
      </c>
      <c r="I33" s="62">
        <f>889350.09+1033608.08+64719.16</f>
        <v>1987677.3299999998</v>
      </c>
      <c r="J33" s="62">
        <v>0</v>
      </c>
      <c r="K33" s="126">
        <f>SUM(C33:J33)</f>
        <v>2037455.22</v>
      </c>
    </row>
    <row r="34" spans="2:11" ht="12">
      <c r="B34" s="125">
        <v>39477</v>
      </c>
      <c r="C34" s="62"/>
      <c r="D34" s="62">
        <f>440.9+1419.04+4603.94</f>
        <v>6463.879999999999</v>
      </c>
      <c r="E34" s="62">
        <v>0</v>
      </c>
      <c r="F34" s="62">
        <f>664300+650+469962.3+268938.7+1881+26264.36</f>
        <v>1431996.36</v>
      </c>
      <c r="G34" s="62">
        <f>4185+1395+21064.5</f>
        <v>26644.5</v>
      </c>
      <c r="H34" s="62">
        <f>206075.09+20000</f>
        <v>226075.09</v>
      </c>
      <c r="I34" s="62">
        <f>258335.14+258335.14+22733.49+103002.63+137264.87+5848.06</f>
        <v>785519.3300000001</v>
      </c>
      <c r="J34" s="62">
        <v>0</v>
      </c>
      <c r="K34" s="126">
        <f>SUM(C34:J34)</f>
        <v>2476699.16</v>
      </c>
    </row>
    <row r="35" spans="2:11" ht="12">
      <c r="B35" s="127" t="s">
        <v>376</v>
      </c>
      <c r="C35" s="126">
        <f>SUM(C22:C30)</f>
        <v>0</v>
      </c>
      <c r="D35" s="126">
        <f>SUM(D14:D34)</f>
        <v>62850769.779999994</v>
      </c>
      <c r="E35" s="126">
        <f>SUM(E14:E34)</f>
        <v>6277437.5</v>
      </c>
      <c r="F35" s="126">
        <f>SUM(F14:F34)</f>
        <v>5805611.960000001</v>
      </c>
      <c r="G35" s="126">
        <f>SUM(G14:G34)</f>
        <v>1013823.76</v>
      </c>
      <c r="H35" s="126">
        <f>SUM(H14:H34)</f>
        <v>3784879.3799999994</v>
      </c>
      <c r="I35" s="126">
        <f>SUM(I14:I34)</f>
        <v>31708330.2192</v>
      </c>
      <c r="J35" s="126">
        <f>SUM(J14:J34)</f>
        <v>11306226.63</v>
      </c>
      <c r="K35" s="126">
        <f>SUM(K14:K34)</f>
        <v>122747079.2292</v>
      </c>
    </row>
    <row r="36" ht="9" customHeight="1"/>
    <row r="37" spans="2:11" s="105" customFormat="1" ht="23.25">
      <c r="B37" s="122" t="s">
        <v>367</v>
      </c>
      <c r="C37" s="123" t="s">
        <v>368</v>
      </c>
      <c r="D37" s="122" t="s">
        <v>369</v>
      </c>
      <c r="E37" s="123" t="s">
        <v>370</v>
      </c>
      <c r="F37" s="122" t="s">
        <v>36</v>
      </c>
      <c r="G37" s="122" t="s">
        <v>371</v>
      </c>
      <c r="H37" s="122" t="s">
        <v>372</v>
      </c>
      <c r="I37" s="122" t="s">
        <v>373</v>
      </c>
      <c r="J37" s="122" t="s">
        <v>374</v>
      </c>
      <c r="K37" s="124" t="s">
        <v>375</v>
      </c>
    </row>
    <row r="38" spans="2:11" s="105" customFormat="1" ht="12">
      <c r="B38" s="125">
        <v>39479</v>
      </c>
      <c r="C38" s="123"/>
      <c r="D38" s="62">
        <v>9356.94</v>
      </c>
      <c r="E38" s="62">
        <v>0</v>
      </c>
      <c r="F38" s="62">
        <v>110440</v>
      </c>
      <c r="G38" s="62">
        <v>20000</v>
      </c>
      <c r="H38" s="62">
        <v>320000</v>
      </c>
      <c r="I38" s="62">
        <v>0</v>
      </c>
      <c r="J38" s="62">
        <v>0</v>
      </c>
      <c r="K38" s="126">
        <f>SUM(D38:J38)</f>
        <v>459796.94</v>
      </c>
    </row>
    <row r="39" spans="2:11" s="105" customFormat="1" ht="12">
      <c r="B39" s="125">
        <v>39482</v>
      </c>
      <c r="C39" s="123"/>
      <c r="D39" s="62">
        <v>47637.5</v>
      </c>
      <c r="E39" s="62">
        <v>0</v>
      </c>
      <c r="F39" s="62">
        <v>180754.29</v>
      </c>
      <c r="G39" s="62">
        <v>50798.27</v>
      </c>
      <c r="H39" s="62">
        <v>65000</v>
      </c>
      <c r="I39" s="62">
        <v>227394.05</v>
      </c>
      <c r="J39" s="62">
        <v>5020216.55</v>
      </c>
      <c r="K39" s="126">
        <f>SUM(D39:J39)</f>
        <v>5591800.66</v>
      </c>
    </row>
    <row r="40" spans="2:11" s="105" customFormat="1" ht="12">
      <c r="B40" s="125">
        <v>39483</v>
      </c>
      <c r="C40" s="123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126">
        <f>SUM(D40:J40)</f>
        <v>0</v>
      </c>
    </row>
    <row r="41" spans="2:11" s="105" customFormat="1" ht="12">
      <c r="B41" s="125">
        <v>39484</v>
      </c>
      <c r="C41" s="123"/>
      <c r="D41" s="62">
        <v>47682332.98</v>
      </c>
      <c r="E41" s="62">
        <v>0</v>
      </c>
      <c r="F41" s="62">
        <v>68580.71</v>
      </c>
      <c r="G41" s="62">
        <v>19280</v>
      </c>
      <c r="H41" s="62">
        <v>978687.72</v>
      </c>
      <c r="I41" s="62">
        <v>609664.18</v>
      </c>
      <c r="J41" s="62">
        <v>0</v>
      </c>
      <c r="K41" s="126">
        <f>SUM(D41:J41)</f>
        <v>49358545.589999996</v>
      </c>
    </row>
    <row r="42" spans="2:11" s="105" customFormat="1" ht="12">
      <c r="B42" s="125">
        <v>39485</v>
      </c>
      <c r="C42" s="123"/>
      <c r="D42" s="62">
        <v>236433.27</v>
      </c>
      <c r="E42" s="62">
        <v>0</v>
      </c>
      <c r="F42" s="62">
        <v>126311.94</v>
      </c>
      <c r="G42" s="62">
        <v>45607.2</v>
      </c>
      <c r="H42" s="62">
        <v>0</v>
      </c>
      <c r="I42" s="62">
        <v>382340.68</v>
      </c>
      <c r="J42" s="62">
        <v>0</v>
      </c>
      <c r="K42" s="126">
        <f>SUM(D42:J42)</f>
        <v>790693.0900000001</v>
      </c>
    </row>
    <row r="43" spans="2:11" s="105" customFormat="1" ht="12">
      <c r="B43" s="125">
        <v>39486</v>
      </c>
      <c r="C43" s="123"/>
      <c r="D43" s="62">
        <v>767200</v>
      </c>
      <c r="E43" s="62">
        <v>0</v>
      </c>
      <c r="F43" s="62">
        <v>0</v>
      </c>
      <c r="G43" s="62">
        <v>105550.5</v>
      </c>
      <c r="H43" s="62">
        <v>15000</v>
      </c>
      <c r="I43" s="62">
        <v>1756633.12</v>
      </c>
      <c r="J43" s="62">
        <v>0</v>
      </c>
      <c r="K43" s="126">
        <f>SUM(D43:J43)</f>
        <v>2644383.62</v>
      </c>
    </row>
    <row r="44" spans="2:11" s="105" customFormat="1" ht="12">
      <c r="B44" s="125">
        <v>39489</v>
      </c>
      <c r="C44" s="123"/>
      <c r="D44" s="62">
        <v>6700</v>
      </c>
      <c r="E44" s="62">
        <v>102413.89</v>
      </c>
      <c r="F44" s="62">
        <v>300000</v>
      </c>
      <c r="G44" s="62">
        <v>39428.74</v>
      </c>
      <c r="H44" s="62">
        <v>155000</v>
      </c>
      <c r="I44" s="62">
        <v>604145.39</v>
      </c>
      <c r="J44" s="62">
        <v>0</v>
      </c>
      <c r="K44" s="126">
        <f>SUM(D44:J44)</f>
        <v>1207688.02</v>
      </c>
    </row>
    <row r="45" spans="2:11" s="105" customFormat="1" ht="12">
      <c r="B45" s="125">
        <v>39490</v>
      </c>
      <c r="C45" s="123"/>
      <c r="D45" s="62">
        <v>0</v>
      </c>
      <c r="E45" s="62">
        <v>0</v>
      </c>
      <c r="F45" s="62">
        <v>0</v>
      </c>
      <c r="G45" s="62">
        <v>294165.99</v>
      </c>
      <c r="H45" s="62">
        <v>86722.59</v>
      </c>
      <c r="I45" s="62">
        <v>1527704.61</v>
      </c>
      <c r="J45" s="62">
        <v>2258622.93</v>
      </c>
      <c r="K45" s="126">
        <f>SUM(D45:J45)</f>
        <v>4167216.12</v>
      </c>
    </row>
    <row r="46" spans="2:11" s="105" customFormat="1" ht="12">
      <c r="B46" s="125">
        <v>39491</v>
      </c>
      <c r="C46" s="123"/>
      <c r="D46" s="62">
        <v>563086.4</v>
      </c>
      <c r="E46" s="62">
        <v>0</v>
      </c>
      <c r="F46" s="62">
        <v>0</v>
      </c>
      <c r="G46" s="62">
        <v>15624.56</v>
      </c>
      <c r="H46" s="62">
        <v>600171.33</v>
      </c>
      <c r="I46" s="62">
        <v>1162147.92</v>
      </c>
      <c r="J46" s="62">
        <v>0</v>
      </c>
      <c r="K46" s="126">
        <f>SUM(D46:J46)</f>
        <v>2341030.21</v>
      </c>
    </row>
    <row r="47" spans="2:11" s="105" customFormat="1" ht="12">
      <c r="B47" s="125">
        <v>39492</v>
      </c>
      <c r="C47" s="123"/>
      <c r="D47" s="62">
        <v>11287414.18</v>
      </c>
      <c r="E47" s="62">
        <v>0</v>
      </c>
      <c r="F47" s="62">
        <v>0</v>
      </c>
      <c r="G47" s="62">
        <v>103715.38</v>
      </c>
      <c r="H47" s="62">
        <v>0</v>
      </c>
      <c r="I47" s="62">
        <v>0</v>
      </c>
      <c r="J47" s="62">
        <v>0</v>
      </c>
      <c r="K47" s="126">
        <f>SUM(D47:J47)</f>
        <v>11391129.56</v>
      </c>
    </row>
    <row r="48" spans="2:11" s="2" customFormat="1" ht="12">
      <c r="B48" s="125">
        <v>39493</v>
      </c>
      <c r="C48" s="123"/>
      <c r="D48" s="62">
        <v>250</v>
      </c>
      <c r="E48" s="62">
        <v>0</v>
      </c>
      <c r="F48" s="62">
        <v>214592.89</v>
      </c>
      <c r="G48" s="62">
        <v>86434.37</v>
      </c>
      <c r="H48" s="62">
        <v>747922.41</v>
      </c>
      <c r="I48" s="62">
        <v>3727411.36</v>
      </c>
      <c r="J48" s="62">
        <v>441480.02</v>
      </c>
      <c r="K48" s="126">
        <f>SUM(D48:J48)</f>
        <v>5218091.049999999</v>
      </c>
    </row>
    <row r="49" spans="2:11" s="2" customFormat="1" ht="12">
      <c r="B49" s="125">
        <v>39496</v>
      </c>
      <c r="C49" s="123"/>
      <c r="D49" s="62">
        <v>1824924.08</v>
      </c>
      <c r="E49" s="62">
        <f>1532541.67+237015.8</f>
        <v>1769557.47</v>
      </c>
      <c r="F49" s="62">
        <v>30238.05</v>
      </c>
      <c r="G49" s="62">
        <v>5553.26</v>
      </c>
      <c r="H49" s="62">
        <v>235000</v>
      </c>
      <c r="I49" s="62">
        <v>1876809.06</v>
      </c>
      <c r="J49" s="62">
        <v>0</v>
      </c>
      <c r="K49" s="126">
        <f>SUM(D49:J49)</f>
        <v>5742081.92</v>
      </c>
    </row>
    <row r="50" spans="2:11" s="2" customFormat="1" ht="12">
      <c r="B50" s="125">
        <v>39497</v>
      </c>
      <c r="C50" s="123"/>
      <c r="D50" s="62">
        <v>795.84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126">
        <f>SUM(D50:J50)</f>
        <v>795.84</v>
      </c>
    </row>
    <row r="51" spans="2:11" s="2" customFormat="1" ht="12">
      <c r="B51" s="125">
        <v>39498</v>
      </c>
      <c r="C51" s="123"/>
      <c r="D51" s="62">
        <f>79651.78-1746</f>
        <v>77905.78</v>
      </c>
      <c r="E51" s="62">
        <v>0</v>
      </c>
      <c r="F51" s="62">
        <v>0</v>
      </c>
      <c r="G51" s="62">
        <v>172123.59</v>
      </c>
      <c r="H51" s="62">
        <v>236654.24</v>
      </c>
      <c r="I51" s="62">
        <v>5705007.94</v>
      </c>
      <c r="J51" s="62">
        <v>0</v>
      </c>
      <c r="K51" s="126">
        <f>SUM(D51:J51)</f>
        <v>6191691.550000001</v>
      </c>
    </row>
    <row r="52" spans="2:11" s="2" customFormat="1" ht="12">
      <c r="B52" s="125">
        <v>39499</v>
      </c>
      <c r="C52" s="123"/>
      <c r="D52" s="62">
        <v>63558.69</v>
      </c>
      <c r="E52" s="62">
        <v>0</v>
      </c>
      <c r="F52" s="62">
        <v>334300.11</v>
      </c>
      <c r="G52" s="62">
        <v>35946.87</v>
      </c>
      <c r="H52" s="62">
        <v>478379.11</v>
      </c>
      <c r="I52" s="62">
        <v>2394474.15</v>
      </c>
      <c r="J52" s="62">
        <v>7797367.49</v>
      </c>
      <c r="K52" s="126">
        <f>SUM(D52:J52)</f>
        <v>11104026.42</v>
      </c>
    </row>
    <row r="53" spans="2:11" s="2" customFormat="1" ht="12">
      <c r="B53" s="125">
        <v>39500</v>
      </c>
      <c r="C53" s="123"/>
      <c r="D53" s="62">
        <v>264686.65</v>
      </c>
      <c r="E53" s="62">
        <v>0</v>
      </c>
      <c r="F53" s="62">
        <v>900</v>
      </c>
      <c r="G53" s="62">
        <v>207441.66</v>
      </c>
      <c r="H53" s="62">
        <v>160000</v>
      </c>
      <c r="I53" s="62">
        <v>291711.84</v>
      </c>
      <c r="J53" s="62">
        <v>5656.09</v>
      </c>
      <c r="K53" s="126">
        <f>SUM(D53:J53)</f>
        <v>930396.24</v>
      </c>
    </row>
    <row r="54" spans="2:11" s="2" customFormat="1" ht="12">
      <c r="B54" s="125">
        <v>39503</v>
      </c>
      <c r="C54" s="123"/>
      <c r="D54" s="62">
        <v>0</v>
      </c>
      <c r="E54" s="62">
        <v>0</v>
      </c>
      <c r="F54" s="62">
        <v>0</v>
      </c>
      <c r="G54" s="62">
        <f>5400+490.8</f>
        <v>5890.8</v>
      </c>
      <c r="H54" s="62">
        <v>0</v>
      </c>
      <c r="I54" s="62">
        <v>0</v>
      </c>
      <c r="J54" s="62">
        <v>0</v>
      </c>
      <c r="K54" s="126">
        <f>SUM(D54:J54)</f>
        <v>5890.8</v>
      </c>
    </row>
    <row r="55" spans="2:11" s="2" customFormat="1" ht="12">
      <c r="B55" s="125">
        <v>39504</v>
      </c>
      <c r="C55" s="123"/>
      <c r="D55" s="62">
        <v>439381.42</v>
      </c>
      <c r="E55" s="62">
        <v>0</v>
      </c>
      <c r="F55" s="62">
        <v>2713954.25</v>
      </c>
      <c r="G55" s="62">
        <v>77523.68</v>
      </c>
      <c r="H55" s="62">
        <f>77065.64+125000</f>
        <v>202065.64</v>
      </c>
      <c r="I55" s="62">
        <f>169627.92+2862257.99+2410081.98</f>
        <v>5441967.890000001</v>
      </c>
      <c r="J55" s="62">
        <v>0</v>
      </c>
      <c r="K55" s="126">
        <f>SUM(D55:J55)</f>
        <v>8874892.88</v>
      </c>
    </row>
    <row r="56" spans="2:11" s="2" customFormat="1" ht="12">
      <c r="B56" s="125">
        <v>39505</v>
      </c>
      <c r="C56" s="123"/>
      <c r="D56" s="62">
        <v>21668.87</v>
      </c>
      <c r="E56" s="62">
        <v>0</v>
      </c>
      <c r="F56" s="62">
        <v>188204.88</v>
      </c>
      <c r="G56" s="62">
        <v>398069.68</v>
      </c>
      <c r="H56" s="62">
        <f>10000+122785.28+310603.27</f>
        <v>443388.55000000005</v>
      </c>
      <c r="I56" s="62">
        <f>603513.11+603513.12+53109.15</f>
        <v>1260135.38</v>
      </c>
      <c r="J56" s="62">
        <v>0</v>
      </c>
      <c r="K56" s="126">
        <f>SUM(D56:J56)</f>
        <v>2311467.3600000003</v>
      </c>
    </row>
    <row r="57" spans="2:11" s="2" customFormat="1" ht="12">
      <c r="B57" s="125">
        <v>39506</v>
      </c>
      <c r="C57" s="123"/>
      <c r="D57" s="62">
        <v>0</v>
      </c>
      <c r="E57" s="62">
        <v>0</v>
      </c>
      <c r="F57" s="62">
        <v>1955868</v>
      </c>
      <c r="G57" s="62">
        <v>80</v>
      </c>
      <c r="H57" s="62">
        <v>0</v>
      </c>
      <c r="I57" s="62">
        <v>0</v>
      </c>
      <c r="J57" s="62">
        <v>0</v>
      </c>
      <c r="K57" s="126">
        <f>SUM(D57:J57)</f>
        <v>1955948</v>
      </c>
    </row>
    <row r="58" spans="2:11" s="2" customFormat="1" ht="12">
      <c r="B58" s="125">
        <v>39507</v>
      </c>
      <c r="C58" s="123"/>
      <c r="D58" s="62">
        <v>24802.04</v>
      </c>
      <c r="E58" s="62">
        <v>0</v>
      </c>
      <c r="F58" s="62">
        <v>411395.61</v>
      </c>
      <c r="G58" s="62">
        <v>142913.5</v>
      </c>
      <c r="H58" s="62">
        <v>404919.6</v>
      </c>
      <c r="I58" s="62">
        <v>1963373.73</v>
      </c>
      <c r="J58" s="62">
        <v>0</v>
      </c>
      <c r="K58" s="126">
        <f>SUM(D58:J58)</f>
        <v>2947404.48</v>
      </c>
    </row>
    <row r="59" spans="2:11" s="2" customFormat="1" ht="12">
      <c r="B59" s="127" t="s">
        <v>376</v>
      </c>
      <c r="C59" s="126" t="e">
        <f>NA()</f>
        <v>#N/A</v>
      </c>
      <c r="D59" s="126">
        <f>SUM(D38:D58)</f>
        <v>63318134.63999999</v>
      </c>
      <c r="E59" s="126">
        <f>SUM(E38:E58)</f>
        <v>1871971.3599999999</v>
      </c>
      <c r="F59" s="126">
        <f>SUM(F38:F58)</f>
        <v>6635540.73</v>
      </c>
      <c r="G59" s="126">
        <f>SUM(G38:G58)</f>
        <v>1826148.0499999998</v>
      </c>
      <c r="H59" s="126">
        <f>SUM(H38:H58)</f>
        <v>5128911.1899999995</v>
      </c>
      <c r="I59" s="126">
        <f>SUM(I38:I58)</f>
        <v>28930921.3</v>
      </c>
      <c r="J59" s="126">
        <f>SUM(J38:J58)</f>
        <v>15523343.080000002</v>
      </c>
      <c r="K59" s="126">
        <f>SUM(K38:K58)</f>
        <v>123234970.35</v>
      </c>
    </row>
    <row r="60" ht="9" customHeight="1"/>
    <row r="61" ht="12">
      <c r="B61" t="s">
        <v>377</v>
      </c>
    </row>
    <row r="62" ht="12">
      <c r="B62" t="s">
        <v>378</v>
      </c>
    </row>
    <row r="63" ht="12">
      <c r="B63" t="s">
        <v>379</v>
      </c>
    </row>
    <row r="65" spans="2:11" ht="23.25">
      <c r="B65" s="122" t="s">
        <v>367</v>
      </c>
      <c r="C65" s="123" t="s">
        <v>368</v>
      </c>
      <c r="D65" s="122" t="s">
        <v>369</v>
      </c>
      <c r="E65" s="123" t="s">
        <v>370</v>
      </c>
      <c r="F65" s="122" t="s">
        <v>36</v>
      </c>
      <c r="G65" s="122" t="s">
        <v>371</v>
      </c>
      <c r="H65" s="122" t="s">
        <v>372</v>
      </c>
      <c r="I65" s="122" t="s">
        <v>373</v>
      </c>
      <c r="J65" s="122" t="s">
        <v>374</v>
      </c>
      <c r="K65" s="124" t="s">
        <v>375</v>
      </c>
    </row>
    <row r="66" spans="2:11" ht="12">
      <c r="B66" s="125">
        <v>39510</v>
      </c>
      <c r="C66" s="123"/>
      <c r="D66" s="62">
        <v>66197.34</v>
      </c>
      <c r="E66" s="62">
        <v>0</v>
      </c>
      <c r="F66" s="62">
        <v>2740.5</v>
      </c>
      <c r="G66" s="62">
        <v>77225.79</v>
      </c>
      <c r="H66" s="62">
        <v>186392.64</v>
      </c>
      <c r="I66" s="62">
        <v>1155267.79</v>
      </c>
      <c r="J66" s="62">
        <v>0</v>
      </c>
      <c r="K66" s="126">
        <f>SUM(D66:J66)</f>
        <v>1487824.06</v>
      </c>
    </row>
    <row r="67" spans="2:11" ht="12">
      <c r="B67" s="125">
        <v>39511</v>
      </c>
      <c r="C67" s="123"/>
      <c r="D67" s="62">
        <v>6789.42</v>
      </c>
      <c r="E67" s="62">
        <v>0</v>
      </c>
      <c r="F67" s="62">
        <v>0</v>
      </c>
      <c r="G67" s="62">
        <v>110302.39</v>
      </c>
      <c r="H67" s="62">
        <f>61392.64+30000</f>
        <v>91392.64</v>
      </c>
      <c r="I67" s="62">
        <f>32853.77*2+2891.13+68598.69</f>
        <v>137197.36</v>
      </c>
      <c r="J67" s="62">
        <v>0</v>
      </c>
      <c r="K67" s="126">
        <f>SUM(D67:J67)</f>
        <v>345681.81</v>
      </c>
    </row>
    <row r="68" spans="2:11" ht="12">
      <c r="B68" s="125">
        <v>39512</v>
      </c>
      <c r="C68" s="123"/>
      <c r="D68" s="62">
        <v>2383.13</v>
      </c>
      <c r="E68" s="62">
        <v>0</v>
      </c>
      <c r="F68" s="62">
        <v>0</v>
      </c>
      <c r="G68" s="62">
        <v>185242.82</v>
      </c>
      <c r="H68" s="62">
        <v>8482.37</v>
      </c>
      <c r="I68" s="62">
        <v>923903.25</v>
      </c>
      <c r="J68" s="62">
        <v>0</v>
      </c>
      <c r="K68" s="126">
        <f>SUM(D68:J68)</f>
        <v>1120011.5699999998</v>
      </c>
    </row>
    <row r="69" spans="2:11" ht="12">
      <c r="B69" s="125">
        <v>39513</v>
      </c>
      <c r="C69" s="123"/>
      <c r="D69" s="62">
        <v>42720919.93</v>
      </c>
      <c r="E69" s="62">
        <v>0</v>
      </c>
      <c r="F69" s="62">
        <v>500</v>
      </c>
      <c r="G69" s="62">
        <v>329933.71</v>
      </c>
      <c r="H69" s="62">
        <v>548018.7</v>
      </c>
      <c r="I69" s="62">
        <v>177590.15</v>
      </c>
      <c r="J69" s="62">
        <v>0</v>
      </c>
      <c r="K69" s="126">
        <f>SUM(D69:J69)</f>
        <v>43776962.49</v>
      </c>
    </row>
    <row r="70" spans="2:11" ht="12">
      <c r="B70" s="125">
        <v>39514</v>
      </c>
      <c r="C70" s="123"/>
      <c r="D70" s="62">
        <v>3734.72</v>
      </c>
      <c r="E70" s="62">
        <v>0</v>
      </c>
      <c r="F70" s="62">
        <v>452361.58</v>
      </c>
      <c r="G70" s="62">
        <v>91563.8</v>
      </c>
      <c r="H70" s="62">
        <f>1007198.05-9299</f>
        <v>997899.05</v>
      </c>
      <c r="I70" s="62">
        <v>261913.04</v>
      </c>
      <c r="J70" s="62">
        <v>0</v>
      </c>
      <c r="K70" s="126">
        <f>SUM(D70:J70)</f>
        <v>1807472.1900000002</v>
      </c>
    </row>
    <row r="71" spans="2:11" ht="12">
      <c r="B71" s="125">
        <v>39517</v>
      </c>
      <c r="C71" s="123"/>
      <c r="D71" s="62">
        <v>357267.64</v>
      </c>
      <c r="E71" s="62">
        <v>0</v>
      </c>
      <c r="F71" s="62">
        <v>111041</v>
      </c>
      <c r="G71" s="62">
        <v>238771.8</v>
      </c>
      <c r="H71" s="62">
        <v>245000</v>
      </c>
      <c r="I71" s="62">
        <v>561853.83</v>
      </c>
      <c r="J71" s="62">
        <v>0</v>
      </c>
      <c r="K71" s="126">
        <f>SUM(D71:J71)</f>
        <v>1513934.27</v>
      </c>
    </row>
    <row r="72" spans="2:11" ht="12">
      <c r="B72" s="125">
        <v>39518</v>
      </c>
      <c r="C72" s="123"/>
      <c r="D72" s="62">
        <v>607305.43</v>
      </c>
      <c r="E72" s="62">
        <v>0</v>
      </c>
      <c r="F72" s="62">
        <v>940.5</v>
      </c>
      <c r="G72" s="62">
        <v>32913.85</v>
      </c>
      <c r="H72" s="62">
        <v>142587.98</v>
      </c>
      <c r="I72" s="62">
        <v>114685.05</v>
      </c>
      <c r="J72" s="62">
        <v>0</v>
      </c>
      <c r="K72" s="126">
        <f>SUM(D72:J72)</f>
        <v>898432.81</v>
      </c>
    </row>
    <row r="73" spans="2:11" ht="12">
      <c r="B73" s="125">
        <v>39519</v>
      </c>
      <c r="C73" s="123"/>
      <c r="D73" s="62">
        <v>9300</v>
      </c>
      <c r="E73" s="62">
        <v>0</v>
      </c>
      <c r="F73" s="62">
        <v>500</v>
      </c>
      <c r="G73" s="62">
        <f>198519.22+10000</f>
        <v>208519.22</v>
      </c>
      <c r="H73" s="62">
        <v>207939.14</v>
      </c>
      <c r="I73" s="62">
        <v>364030.09</v>
      </c>
      <c r="J73" s="62">
        <v>0</v>
      </c>
      <c r="K73" s="126">
        <f>SUM(D73:J73)</f>
        <v>790288.45</v>
      </c>
    </row>
    <row r="74" spans="2:11" ht="12">
      <c r="B74" s="125">
        <v>39520</v>
      </c>
      <c r="C74" s="123"/>
      <c r="D74" s="62">
        <v>14274604.47</v>
      </c>
      <c r="E74" s="62">
        <v>0</v>
      </c>
      <c r="F74" s="62">
        <v>900</v>
      </c>
      <c r="G74" s="62">
        <v>169145.75</v>
      </c>
      <c r="H74" s="62">
        <v>725612.87</v>
      </c>
      <c r="I74" s="62">
        <f>160637.85*2+14136.13+335411.83</f>
        <v>670823.66</v>
      </c>
      <c r="J74" s="62">
        <v>0</v>
      </c>
      <c r="K74" s="126">
        <f>SUM(D74:J74)</f>
        <v>15841086.75</v>
      </c>
    </row>
    <row r="75" spans="2:11" ht="12">
      <c r="B75" s="125">
        <v>39521</v>
      </c>
      <c r="C75" s="123"/>
      <c r="D75" s="62">
        <v>264387.56</v>
      </c>
      <c r="E75" s="62">
        <v>0</v>
      </c>
      <c r="F75" s="62">
        <v>215194.11</v>
      </c>
      <c r="G75" s="62">
        <v>596092.43</v>
      </c>
      <c r="H75" s="62">
        <v>123500</v>
      </c>
      <c r="I75" s="62">
        <v>0</v>
      </c>
      <c r="J75" s="62">
        <v>1531458.98</v>
      </c>
      <c r="K75" s="126">
        <f>SUM(D75:J75)</f>
        <v>2730633.08</v>
      </c>
    </row>
    <row r="76" spans="2:11" ht="12">
      <c r="B76" s="125">
        <v>39524</v>
      </c>
      <c r="C76" s="123"/>
      <c r="D76" s="62">
        <v>2296491.75</v>
      </c>
      <c r="E76" s="62">
        <v>0</v>
      </c>
      <c r="F76" s="62">
        <v>2665384.28</v>
      </c>
      <c r="G76" s="62">
        <v>426373.27</v>
      </c>
      <c r="H76" s="62">
        <v>0</v>
      </c>
      <c r="I76" s="62">
        <v>0</v>
      </c>
      <c r="J76" s="62">
        <v>500000</v>
      </c>
      <c r="K76" s="126">
        <f>SUM(D76:J76)</f>
        <v>5888249.3</v>
      </c>
    </row>
    <row r="77" spans="2:11" ht="12">
      <c r="B77" s="125">
        <v>39525</v>
      </c>
      <c r="C77" s="123"/>
      <c r="D77" s="62">
        <f>'Anexo VI'!B77</f>
        <v>3386.72</v>
      </c>
      <c r="E77" s="62">
        <f>'Anexo VI'!C77</f>
        <v>0</v>
      </c>
      <c r="F77" s="62">
        <f>'Anexo VI'!D77</f>
        <v>9405.6</v>
      </c>
      <c r="G77" s="62">
        <f>'Anexo VI'!E77</f>
        <v>50961.61</v>
      </c>
      <c r="H77" s="62">
        <f>'Anexo VI'!F77</f>
        <v>115000</v>
      </c>
      <c r="I77" s="62">
        <f>'Anexo VI'!G77</f>
        <v>1787356.81</v>
      </c>
      <c r="J77" s="62">
        <f>'Anexo VI'!H77</f>
        <v>0</v>
      </c>
      <c r="K77" s="126">
        <f>SUM(D77:J77)</f>
        <v>1966110.74</v>
      </c>
    </row>
    <row r="78" spans="2:11" ht="12">
      <c r="B78" s="125">
        <v>39526</v>
      </c>
      <c r="C78" s="123"/>
      <c r="D78" s="62">
        <v>249935.53</v>
      </c>
      <c r="E78" s="62">
        <v>0</v>
      </c>
      <c r="F78" s="62">
        <v>0</v>
      </c>
      <c r="G78" s="62">
        <v>49287.99</v>
      </c>
      <c r="H78" s="62">
        <f>356963.2+14237.08</f>
        <v>371200.28</v>
      </c>
      <c r="I78" s="62">
        <f>1137844.18+549662.56+670183.8+56236.24</f>
        <v>2413926.7800000003</v>
      </c>
      <c r="J78" s="62">
        <v>7568677.58</v>
      </c>
      <c r="K78" s="126">
        <f>SUM(D78:J78)</f>
        <v>10653028.16</v>
      </c>
    </row>
    <row r="79" spans="2:11" ht="12">
      <c r="B79" s="125">
        <v>39532</v>
      </c>
      <c r="C79" s="123"/>
      <c r="D79" s="62">
        <v>6773.34</v>
      </c>
      <c r="E79" s="62">
        <v>248182.69</v>
      </c>
      <c r="F79" s="62">
        <v>0</v>
      </c>
      <c r="G79" s="62">
        <v>0</v>
      </c>
      <c r="H79" s="62">
        <v>415757.9</v>
      </c>
      <c r="I79" s="62">
        <v>1020531.13</v>
      </c>
      <c r="J79" s="62">
        <v>0</v>
      </c>
      <c r="K79" s="126">
        <f>SUM(D79:J79)</f>
        <v>1691245.0600000003</v>
      </c>
    </row>
    <row r="80" spans="2:11" ht="12">
      <c r="B80" s="125">
        <v>39533</v>
      </c>
      <c r="C80" s="123"/>
      <c r="D80" s="62">
        <v>2100</v>
      </c>
      <c r="E80" s="62">
        <v>0</v>
      </c>
      <c r="F80" s="62">
        <v>169559.7</v>
      </c>
      <c r="G80" s="62">
        <v>159803.58</v>
      </c>
      <c r="H80" s="62">
        <v>120970.93</v>
      </c>
      <c r="I80" s="62">
        <v>0</v>
      </c>
      <c r="J80" s="62">
        <v>0</v>
      </c>
      <c r="K80" s="126">
        <f>SUM(D80:J80)</f>
        <v>452434.21</v>
      </c>
    </row>
    <row r="81" spans="2:11" ht="12">
      <c r="B81" s="125">
        <v>39534</v>
      </c>
      <c r="C81" s="123"/>
      <c r="D81" s="62">
        <v>493288.32</v>
      </c>
      <c r="E81" s="62">
        <v>0</v>
      </c>
      <c r="F81" s="62">
        <v>187859.89</v>
      </c>
      <c r="G81" s="62">
        <v>224844.58</v>
      </c>
      <c r="H81" s="62">
        <v>35991.96</v>
      </c>
      <c r="I81" s="62">
        <v>8530124.43</v>
      </c>
      <c r="J81" s="62">
        <v>0</v>
      </c>
      <c r="K81" s="126">
        <f>SUM(D81:J81)</f>
        <v>9472109.18</v>
      </c>
    </row>
    <row r="82" spans="2:11" ht="12">
      <c r="B82" s="125">
        <v>39535</v>
      </c>
      <c r="C82" s="123"/>
      <c r="D82" s="62">
        <v>54063.18</v>
      </c>
      <c r="E82" s="62">
        <v>3782822.25</v>
      </c>
      <c r="F82" s="62">
        <f>1927549-531000</f>
        <v>1396549</v>
      </c>
      <c r="G82" s="62">
        <f>433265.17-2549.76</f>
        <v>430715.41</v>
      </c>
      <c r="H82" s="62">
        <v>1369915.71</v>
      </c>
      <c r="I82" s="62">
        <v>2718219.4</v>
      </c>
      <c r="J82" s="62">
        <v>0</v>
      </c>
      <c r="K82" s="126">
        <f>SUM(D82:J82)</f>
        <v>9752284.95</v>
      </c>
    </row>
    <row r="83" spans="2:11" ht="12">
      <c r="B83" s="125">
        <v>39538</v>
      </c>
      <c r="C83" s="123"/>
      <c r="D83" s="62">
        <v>1391</v>
      </c>
      <c r="E83" s="62">
        <v>1377850.31</v>
      </c>
      <c r="F83" s="62">
        <v>532085.6</v>
      </c>
      <c r="G83" s="62">
        <v>178151.91</v>
      </c>
      <c r="H83" s="62">
        <f>135000+61392.64</f>
        <v>196392.64</v>
      </c>
      <c r="I83" s="62">
        <v>1400695.98</v>
      </c>
      <c r="J83" s="62">
        <v>0</v>
      </c>
      <c r="K83" s="126">
        <f>SUM(D83:J83)</f>
        <v>3686567.44</v>
      </c>
    </row>
    <row r="84" spans="2:11" ht="12">
      <c r="B84" s="125"/>
      <c r="C84" s="123"/>
      <c r="D84" s="62"/>
      <c r="E84" s="62"/>
      <c r="F84" s="62"/>
      <c r="G84" s="62"/>
      <c r="H84" s="62"/>
      <c r="I84" s="62"/>
      <c r="J84" s="62"/>
      <c r="K84" s="126">
        <f>SUM(D84:J84)</f>
        <v>0</v>
      </c>
    </row>
    <row r="85" spans="2:11" ht="12">
      <c r="B85" s="127" t="s">
        <v>380</v>
      </c>
      <c r="C85" s="126" t="e">
        <f>NA()</f>
        <v>#N/A</v>
      </c>
      <c r="D85" s="126">
        <f>SUM(D66:D84)</f>
        <v>61420319.480000004</v>
      </c>
      <c r="E85" s="126">
        <f>SUM(E66:E84)</f>
        <v>5408855.250000001</v>
      </c>
      <c r="F85" s="126">
        <f>SUM(F66:F84)</f>
        <v>5745021.76</v>
      </c>
      <c r="G85" s="126">
        <f>SUM(G66:G84)</f>
        <v>3559849.9100000006</v>
      </c>
      <c r="H85" s="126">
        <f>SUM(H66:H84)</f>
        <v>5902054.81</v>
      </c>
      <c r="I85" s="126">
        <f>SUM(I66:I84)</f>
        <v>22238118.749999996</v>
      </c>
      <c r="J85" s="126">
        <f>SUM(J66:J84)</f>
        <v>9600136.56</v>
      </c>
      <c r="K85" s="126">
        <f>SUM(K66:K84)</f>
        <v>113874356.52</v>
      </c>
    </row>
    <row r="86" spans="2:11" s="27" customFormat="1" ht="12">
      <c r="B86" s="128"/>
      <c r="C86" s="129"/>
      <c r="D86" s="129"/>
      <c r="E86" s="129"/>
      <c r="F86" s="129"/>
      <c r="G86" s="129"/>
      <c r="H86" s="129"/>
      <c r="I86" s="129"/>
      <c r="J86" s="129"/>
      <c r="K86" s="129"/>
    </row>
    <row r="87" spans="2:11" s="27" customFormat="1" ht="12">
      <c r="B87" t="s">
        <v>381</v>
      </c>
      <c r="C87" s="129"/>
      <c r="D87" s="129"/>
      <c r="E87" s="129"/>
      <c r="F87" s="129"/>
      <c r="G87" s="129"/>
      <c r="H87" s="129"/>
      <c r="I87" s="129"/>
      <c r="J87" s="129"/>
      <c r="K87" s="129"/>
    </row>
    <row r="88" ht="12">
      <c r="B88" t="s">
        <v>382</v>
      </c>
    </row>
    <row r="89" spans="2:11" ht="12.75">
      <c r="B89" s="130" t="s">
        <v>15</v>
      </c>
      <c r="C89" s="131"/>
      <c r="D89" s="131">
        <f>D59+D35+D11+D85</f>
        <v>210605927.81</v>
      </c>
      <c r="E89" s="131">
        <f>E59+E35+E11+E85</f>
        <v>16333632.419999998</v>
      </c>
      <c r="F89" s="131">
        <f>F59+F35+F11+F85</f>
        <v>19518979.48</v>
      </c>
      <c r="G89" s="131">
        <v>109274.52</v>
      </c>
      <c r="H89" s="131">
        <f>H59+H35+H11+H85</f>
        <v>15902236.52</v>
      </c>
      <c r="I89" s="131">
        <f>I59+I35+I11+I85</f>
        <v>85898579.14919999</v>
      </c>
      <c r="J89" s="131">
        <f>J59+J35+J11+J85</f>
        <v>50575058.53</v>
      </c>
      <c r="K89" s="131">
        <f>K59+K35+K11+K85</f>
        <v>405383142.7292</v>
      </c>
    </row>
  </sheetData>
  <printOptions/>
  <pageMargins left="0.7479166666666667" right="0.7479166666666667" top="0.5902777777777778" bottom="0.8555555555555555" header="0.5118055555555555" footer="0.5902777777777778"/>
  <pageSetup horizontalDpi="300" verticalDpi="300" orientation="landscape" paperSize="5" scale="80"/>
  <headerFooter alignWithMargins="0">
    <oddFooter>&amp;C&amp;12Confeccionado por Tesorería General&amp;R&amp;12(Provisorio)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91"/>
  <sheetViews>
    <sheetView zoomScale="110" zoomScaleNormal="110" zoomScaleSheetLayoutView="80" workbookViewId="0" topLeftCell="A1">
      <pane xSplit="1" ySplit="4" topLeftCell="F68" activePane="bottomRight" state="frozen"/>
      <selection pane="topLeft" activeCell="A1" sqref="A1"/>
      <selection pane="topRight" activeCell="F1" sqref="F1"/>
      <selection pane="bottomLeft" activeCell="A68" sqref="A68"/>
      <selection pane="bottomRight" activeCell="J83" sqref="J83"/>
    </sheetView>
  </sheetViews>
  <sheetFormatPr defaultColWidth="9.00390625" defaultRowHeight="12.75"/>
  <cols>
    <col min="1" max="1" width="10.375" style="0" customWidth="1"/>
    <col min="2" max="2" width="15.75390625" style="0" customWidth="1"/>
    <col min="3" max="3" width="14.75390625" style="0" customWidth="1"/>
    <col min="4" max="4" width="15.00390625" style="0" customWidth="1"/>
    <col min="5" max="5" width="13.625" style="0" customWidth="1"/>
    <col min="6" max="6" width="14.875" style="0" customWidth="1"/>
    <col min="7" max="7" width="15.875" style="0" customWidth="1"/>
    <col min="8" max="8" width="14.625" style="0" customWidth="1"/>
    <col min="9" max="9" width="16.125" style="0" customWidth="1"/>
    <col min="10" max="10" width="12.375" style="0" customWidth="1"/>
    <col min="11" max="11" width="16.125" style="0" customWidth="1"/>
    <col min="12" max="12" width="15.75390625" style="0" customWidth="1"/>
    <col min="13" max="13" width="14.625" style="0" customWidth="1"/>
    <col min="14" max="14" width="14.50390625" style="0" customWidth="1"/>
    <col min="15" max="15" width="15.50390625" style="0" customWidth="1"/>
    <col min="16" max="16" width="16.00390625" style="0" customWidth="1"/>
    <col min="17" max="17" width="15.00390625" style="0" customWidth="1"/>
    <col min="18" max="18" width="13.00390625" style="0" customWidth="1"/>
    <col min="19" max="19" width="3.75390625" style="0" customWidth="1"/>
    <col min="20" max="20" width="11.625" style="0" customWidth="1"/>
    <col min="21" max="21" width="12.625" style="0" customWidth="1"/>
    <col min="22" max="22" width="12.875" style="0" customWidth="1"/>
  </cols>
  <sheetData>
    <row r="1" spans="1:9" ht="12">
      <c r="A1" s="51" t="s">
        <v>10</v>
      </c>
      <c r="B1" s="132"/>
      <c r="C1" s="133"/>
      <c r="D1" s="132"/>
      <c r="E1" s="132"/>
      <c r="F1" s="132"/>
      <c r="G1" s="132"/>
      <c r="H1" s="132"/>
      <c r="I1" s="87"/>
    </row>
    <row r="2" spans="1:9" ht="12">
      <c r="A2" s="132"/>
      <c r="B2" s="132"/>
      <c r="C2" s="133"/>
      <c r="D2" s="132"/>
      <c r="E2" s="132"/>
      <c r="F2" s="132"/>
      <c r="G2" s="132"/>
      <c r="H2" s="132"/>
      <c r="I2" s="87"/>
    </row>
    <row r="3" spans="1:18" ht="12">
      <c r="A3" s="122"/>
      <c r="B3" s="122" t="s">
        <v>383</v>
      </c>
      <c r="C3" s="122"/>
      <c r="D3" s="122"/>
      <c r="E3" s="122"/>
      <c r="F3" s="122"/>
      <c r="G3" s="122"/>
      <c r="H3" s="122"/>
      <c r="I3" s="122"/>
      <c r="J3" s="134" t="s">
        <v>384</v>
      </c>
      <c r="K3" s="135" t="s">
        <v>385</v>
      </c>
      <c r="L3" s="135"/>
      <c r="M3" s="135"/>
      <c r="N3" s="135"/>
      <c r="O3" s="135"/>
      <c r="P3" s="135"/>
      <c r="Q3" s="136" t="s">
        <v>386</v>
      </c>
      <c r="R3" s="124" t="s">
        <v>387</v>
      </c>
    </row>
    <row r="4" spans="1:22" ht="12">
      <c r="A4" s="122" t="s">
        <v>367</v>
      </c>
      <c r="B4" s="122" t="s">
        <v>369</v>
      </c>
      <c r="C4" s="123" t="s">
        <v>370</v>
      </c>
      <c r="D4" s="122" t="s">
        <v>36</v>
      </c>
      <c r="E4" s="122" t="s">
        <v>371</v>
      </c>
      <c r="F4" s="122" t="s">
        <v>372</v>
      </c>
      <c r="G4" s="122" t="s">
        <v>373</v>
      </c>
      <c r="H4" s="122" t="s">
        <v>374</v>
      </c>
      <c r="I4" s="124" t="s">
        <v>375</v>
      </c>
      <c r="J4" s="134"/>
      <c r="K4" s="122" t="s">
        <v>388</v>
      </c>
      <c r="L4" s="122" t="s">
        <v>389</v>
      </c>
      <c r="M4" s="122" t="s">
        <v>20</v>
      </c>
      <c r="N4" s="122" t="s">
        <v>390</v>
      </c>
      <c r="O4" s="122" t="s">
        <v>37</v>
      </c>
      <c r="P4" s="124" t="s">
        <v>391</v>
      </c>
      <c r="Q4" s="136"/>
      <c r="R4" s="136"/>
      <c r="U4" s="137">
        <v>53493722.03</v>
      </c>
      <c r="V4" s="137"/>
    </row>
    <row r="5" spans="1:22" ht="12">
      <c r="A5" s="125">
        <v>39434</v>
      </c>
      <c r="B5" s="62">
        <v>2045448.86</v>
      </c>
      <c r="C5" s="62">
        <v>550001.86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126">
        <f>SUM(B5:H5)</f>
        <v>2595450.72</v>
      </c>
      <c r="J5" s="62">
        <v>26206365.59</v>
      </c>
      <c r="K5" s="62">
        <v>2324219.58</v>
      </c>
      <c r="L5" s="62">
        <f>4187505.3+734979.61+181790.33</f>
        <v>5104275.24</v>
      </c>
      <c r="M5" s="62">
        <v>3383407.43</v>
      </c>
      <c r="N5" s="62">
        <v>276877.88</v>
      </c>
      <c r="O5" s="62">
        <v>104963.38</v>
      </c>
      <c r="P5" s="138">
        <f>SUM(K5:O5)</f>
        <v>11193743.510000002</v>
      </c>
      <c r="Q5" s="62">
        <f>184+2578.49+636.58+300.14+38.4+3033+3033</f>
        <v>9803.61</v>
      </c>
      <c r="R5" s="139">
        <v>62072289.99</v>
      </c>
      <c r="U5" s="137">
        <f>U4+P5-Q5-I5</f>
        <v>62082211.21000001</v>
      </c>
      <c r="V5" s="137">
        <f>U5-R5</f>
        <v>9921.220000006258</v>
      </c>
    </row>
    <row r="6" spans="1:22" ht="12">
      <c r="A6" s="125">
        <v>39435</v>
      </c>
      <c r="B6" s="62">
        <v>45050.18</v>
      </c>
      <c r="C6" s="62">
        <v>189719.76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126">
        <f>SUM(B6:H6)</f>
        <v>234769.94</v>
      </c>
      <c r="J6" s="140"/>
      <c r="K6" s="62">
        <v>4119120.83</v>
      </c>
      <c r="L6" s="62">
        <v>4364012.97</v>
      </c>
      <c r="M6" s="62">
        <v>8108091.53</v>
      </c>
      <c r="N6" s="62">
        <v>270146.39</v>
      </c>
      <c r="O6" s="62">
        <f>1363.95+19.84</f>
        <v>1383.79</v>
      </c>
      <c r="P6" s="138">
        <f>SUM(K6:O6)</f>
        <v>16862755.509999998</v>
      </c>
      <c r="Q6" s="62">
        <v>0</v>
      </c>
      <c r="R6" s="139">
        <v>78698911.61</v>
      </c>
      <c r="U6" s="137">
        <f>R5+P6-Q6-I6</f>
        <v>78700275.56</v>
      </c>
      <c r="V6" s="137">
        <f>U6-R6</f>
        <v>1363.9500000029802</v>
      </c>
    </row>
    <row r="7" spans="1:22" ht="12">
      <c r="A7" s="125">
        <v>39436</v>
      </c>
      <c r="B7" s="62">
        <v>19429644.63</v>
      </c>
      <c r="C7" s="62">
        <f>82111.02+152429.31</f>
        <v>234540.33000000002</v>
      </c>
      <c r="D7" s="62">
        <v>19189</v>
      </c>
      <c r="E7" s="62">
        <v>80767.37</v>
      </c>
      <c r="F7" s="62">
        <v>916976.32</v>
      </c>
      <c r="G7" s="62">
        <v>0</v>
      </c>
      <c r="H7" s="62">
        <v>0</v>
      </c>
      <c r="I7" s="126">
        <f>SUM(B7:H7)</f>
        <v>20681117.65</v>
      </c>
      <c r="J7" s="140"/>
      <c r="K7" s="62">
        <v>3027486.21</v>
      </c>
      <c r="L7" s="62">
        <v>1808307.82</v>
      </c>
      <c r="M7" s="62">
        <v>0</v>
      </c>
      <c r="N7" s="62">
        <v>51607.64</v>
      </c>
      <c r="O7" s="62">
        <v>701657.47</v>
      </c>
      <c r="P7" s="138">
        <f>SUM(K7:O7)</f>
        <v>5589059.14</v>
      </c>
      <c r="Q7" s="62">
        <f>3230403+35559.93</f>
        <v>3265962.93</v>
      </c>
      <c r="R7" s="139">
        <v>79701741.09</v>
      </c>
      <c r="U7" s="137">
        <f>R6+P7-Q7-I7</f>
        <v>60340890.169999994</v>
      </c>
      <c r="V7" s="137">
        <f>U7-R7</f>
        <v>-19360850.92000001</v>
      </c>
    </row>
    <row r="8" spans="1:22" ht="12">
      <c r="A8" s="125">
        <v>39437</v>
      </c>
      <c r="B8" s="62">
        <v>0</v>
      </c>
      <c r="C8" s="62">
        <v>378527.41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126">
        <f>SUM(B8:H8)</f>
        <v>378527.41</v>
      </c>
      <c r="J8" s="140"/>
      <c r="K8" s="62">
        <v>3394592.69</v>
      </c>
      <c r="L8" s="62">
        <v>1719352.07</v>
      </c>
      <c r="M8" s="62">
        <v>0</v>
      </c>
      <c r="N8" s="62">
        <v>591278.69</v>
      </c>
      <c r="O8" s="62">
        <v>9892.41</v>
      </c>
      <c r="P8" s="138">
        <f>SUM(K8:O8)</f>
        <v>5715115.859999999</v>
      </c>
      <c r="Q8" s="62">
        <v>0</v>
      </c>
      <c r="R8" s="139">
        <v>65278125.54</v>
      </c>
      <c r="U8" s="137">
        <f>R7+P8-Q8-I8</f>
        <v>85038329.54</v>
      </c>
      <c r="V8" s="137">
        <f>U8-R8</f>
        <v>19760204.000000007</v>
      </c>
    </row>
    <row r="9" spans="1:22" ht="12">
      <c r="A9" s="125">
        <v>39442</v>
      </c>
      <c r="B9" s="62">
        <v>380384.92</v>
      </c>
      <c r="C9" s="62">
        <v>746895.42</v>
      </c>
      <c r="D9" s="62">
        <v>0</v>
      </c>
      <c r="E9" s="62">
        <v>0</v>
      </c>
      <c r="F9" s="62">
        <v>0</v>
      </c>
      <c r="G9" s="62">
        <v>2198393.92</v>
      </c>
      <c r="H9" s="62">
        <v>7653129.87</v>
      </c>
      <c r="I9" s="126">
        <f>SUM(B9:H9)</f>
        <v>10978804.13</v>
      </c>
      <c r="J9" s="140"/>
      <c r="K9" s="62">
        <v>5677456.28</v>
      </c>
      <c r="L9" s="62">
        <v>378246.56</v>
      </c>
      <c r="M9" s="62">
        <v>0</v>
      </c>
      <c r="N9" s="62">
        <v>345698.82</v>
      </c>
      <c r="O9" s="62">
        <f>15000+600+3000</f>
        <v>18600</v>
      </c>
      <c r="P9" s="138">
        <f>SUM(K9:O9)</f>
        <v>6420001.66</v>
      </c>
      <c r="Q9" s="62">
        <v>0</v>
      </c>
      <c r="R9" s="139">
        <v>60506913.63</v>
      </c>
      <c r="U9" s="137">
        <f>R8+P9-Q9-I9</f>
        <v>60719323.07</v>
      </c>
      <c r="V9" s="137">
        <f>U9-R9</f>
        <v>212409.43999999762</v>
      </c>
    </row>
    <row r="10" spans="1:22" ht="12">
      <c r="A10" s="125">
        <v>39443</v>
      </c>
      <c r="B10" s="62">
        <v>162799.3</v>
      </c>
      <c r="C10" s="62">
        <v>0</v>
      </c>
      <c r="D10" s="62">
        <v>1301100</v>
      </c>
      <c r="E10" s="62">
        <v>40883.41</v>
      </c>
      <c r="F10" s="62">
        <v>15000</v>
      </c>
      <c r="G10" s="62">
        <v>0</v>
      </c>
      <c r="H10" s="62">
        <v>0</v>
      </c>
      <c r="I10" s="126">
        <f>SUM(B10:H10)</f>
        <v>1519782.71</v>
      </c>
      <c r="J10" s="140"/>
      <c r="K10" s="62">
        <v>8122444.38</v>
      </c>
      <c r="L10" s="62">
        <v>332050.1</v>
      </c>
      <c r="M10" s="62">
        <v>0</v>
      </c>
      <c r="N10" s="62">
        <v>404264.75</v>
      </c>
      <c r="O10" s="62">
        <f>6644.42+2434.66+207.57+500</f>
        <v>9786.65</v>
      </c>
      <c r="P10" s="138">
        <f>SUM(K10:O10)</f>
        <v>8868545.879999999</v>
      </c>
      <c r="Q10" s="62">
        <v>0</v>
      </c>
      <c r="R10" s="139">
        <v>67973171.27</v>
      </c>
      <c r="U10" s="137">
        <f>R9+P10-Q10-I10</f>
        <v>67855676.80000001</v>
      </c>
      <c r="V10" s="137">
        <f>U10-R10</f>
        <v>-117494.4699999839</v>
      </c>
    </row>
    <row r="11" spans="1:22" ht="12">
      <c r="A11" s="125">
        <v>39444</v>
      </c>
      <c r="B11" s="62">
        <v>953376.02</v>
      </c>
      <c r="C11" s="62">
        <v>910223.86</v>
      </c>
      <c r="D11" s="62">
        <v>12516.03</v>
      </c>
      <c r="E11" s="62">
        <v>27256.32</v>
      </c>
      <c r="F11" s="62">
        <v>154414.82</v>
      </c>
      <c r="G11" s="62">
        <v>822814.96</v>
      </c>
      <c r="H11" s="62">
        <v>6492222.39</v>
      </c>
      <c r="I11" s="126">
        <f>SUM(B11:H11)</f>
        <v>9372824.399999999</v>
      </c>
      <c r="J11" s="140"/>
      <c r="K11" s="62">
        <v>4511749.04</v>
      </c>
      <c r="L11" s="62">
        <f>247922.17+178291.22+132014.87</f>
        <v>558228.26</v>
      </c>
      <c r="M11" s="62">
        <v>0</v>
      </c>
      <c r="N11" s="62">
        <v>181910.58</v>
      </c>
      <c r="O11" s="62">
        <v>31666.41</v>
      </c>
      <c r="P11" s="138">
        <f>SUM(K11:O11)</f>
        <v>5283554.29</v>
      </c>
      <c r="Q11" s="62"/>
      <c r="R11" s="139">
        <v>63894587.18</v>
      </c>
      <c r="U11" s="137">
        <f>R10+P11-Q11-I11</f>
        <v>63883901.160000004</v>
      </c>
      <c r="V11" s="137">
        <f>U11-R11</f>
        <v>-10686.019999995828</v>
      </c>
    </row>
    <row r="12" spans="1:18" ht="12">
      <c r="A12" s="127" t="s">
        <v>376</v>
      </c>
      <c r="B12" s="126">
        <f>SUM(B5:B11)</f>
        <v>23016703.91</v>
      </c>
      <c r="C12" s="126">
        <f>SUM(C5:C11)</f>
        <v>3009908.6399999997</v>
      </c>
      <c r="D12" s="126">
        <f>SUM(D5:D11)</f>
        <v>1332805.03</v>
      </c>
      <c r="E12" s="126">
        <f>SUM(E5:E11)</f>
        <v>148907.1</v>
      </c>
      <c r="F12" s="126">
        <f>SUM(F5:F11)</f>
        <v>1086391.14</v>
      </c>
      <c r="G12" s="126">
        <f>SUM(G5:G11)</f>
        <v>3021208.88</v>
      </c>
      <c r="H12" s="126">
        <f>SUM(H5:H11)</f>
        <v>14145352.26</v>
      </c>
      <c r="I12" s="126">
        <f>SUM(I5:I11)</f>
        <v>45761276.96</v>
      </c>
      <c r="J12" s="27"/>
      <c r="K12" s="126">
        <f>SUM(K5:K11)</f>
        <v>31177069.009999998</v>
      </c>
      <c r="L12" s="126">
        <f>SUM(L5:L11)</f>
        <v>14264473.02</v>
      </c>
      <c r="M12" s="126">
        <f>SUM(M5:M11)</f>
        <v>11491498.96</v>
      </c>
      <c r="N12" s="126">
        <f>SUM(N5:N11)</f>
        <v>2121784.75</v>
      </c>
      <c r="O12" s="126">
        <f>SUM(O5:O11)</f>
        <v>877950.1100000001</v>
      </c>
      <c r="P12" s="126">
        <f>SUM(P5:P11)</f>
        <v>59932775.849999994</v>
      </c>
      <c r="Q12" s="126">
        <f>SUM(Q5:Q11)</f>
        <v>3275766.54</v>
      </c>
      <c r="R12" s="141"/>
    </row>
    <row r="14" spans="2:18" ht="12">
      <c r="B14" s="135" t="s">
        <v>383</v>
      </c>
      <c r="C14" s="135"/>
      <c r="D14" s="135"/>
      <c r="E14" s="135"/>
      <c r="F14" s="135"/>
      <c r="G14" s="135"/>
      <c r="H14" s="135"/>
      <c r="I14" s="135"/>
      <c r="J14" s="134" t="s">
        <v>384</v>
      </c>
      <c r="K14" s="135" t="s">
        <v>385</v>
      </c>
      <c r="L14" s="135"/>
      <c r="M14" s="135"/>
      <c r="N14" s="135"/>
      <c r="O14" s="135"/>
      <c r="P14" s="135"/>
      <c r="Q14" s="136" t="s">
        <v>386</v>
      </c>
      <c r="R14" s="124" t="s">
        <v>387</v>
      </c>
    </row>
    <row r="15" spans="1:18" ht="12">
      <c r="A15" s="122" t="s">
        <v>367</v>
      </c>
      <c r="B15" s="122" t="s">
        <v>369</v>
      </c>
      <c r="C15" s="123" t="s">
        <v>370</v>
      </c>
      <c r="D15" s="122" t="s">
        <v>36</v>
      </c>
      <c r="E15" s="122" t="s">
        <v>371</v>
      </c>
      <c r="F15" s="122" t="s">
        <v>372</v>
      </c>
      <c r="G15" s="122" t="s">
        <v>373</v>
      </c>
      <c r="H15" s="122" t="s">
        <v>374</v>
      </c>
      <c r="I15" s="124" t="s">
        <v>375</v>
      </c>
      <c r="J15" s="134"/>
      <c r="K15" s="122" t="s">
        <v>388</v>
      </c>
      <c r="L15" s="122" t="s">
        <v>389</v>
      </c>
      <c r="M15" s="122" t="s">
        <v>20</v>
      </c>
      <c r="N15" s="122" t="s">
        <v>390</v>
      </c>
      <c r="O15" s="122" t="s">
        <v>37</v>
      </c>
      <c r="P15" s="124" t="s">
        <v>391</v>
      </c>
      <c r="Q15" s="136"/>
      <c r="R15" s="136"/>
    </row>
    <row r="16" spans="1:21" ht="12">
      <c r="A16" s="125">
        <v>39449</v>
      </c>
      <c r="B16" s="62">
        <f>839.68+3504.04+1852.54+839.68+1891.01+3551.21+1970.92</f>
        <v>14449.08</v>
      </c>
      <c r="C16" s="62">
        <f>521033.63+17133.86+9211.75+152892.24+50204.94</f>
        <v>750476.4199999999</v>
      </c>
      <c r="D16" s="62">
        <f>12080.43+217.8*2</f>
        <v>12516.03</v>
      </c>
      <c r="E16" s="62">
        <f>8640+18616.32</f>
        <v>27256.32</v>
      </c>
      <c r="F16" s="62">
        <v>49414.82</v>
      </c>
      <c r="G16" s="62">
        <v>0</v>
      </c>
      <c r="H16" s="62">
        <v>0</v>
      </c>
      <c r="I16" s="126">
        <f>SUM(B16:H16)</f>
        <v>854112.6699999998</v>
      </c>
      <c r="J16" s="62">
        <v>8348293</v>
      </c>
      <c r="K16" s="62">
        <v>1566330.77</v>
      </c>
      <c r="L16" s="62">
        <v>2369917.18</v>
      </c>
      <c r="M16" s="62">
        <v>0</v>
      </c>
      <c r="N16" s="62">
        <v>251019.09</v>
      </c>
      <c r="O16" s="62">
        <v>4093166.0900000003</v>
      </c>
      <c r="P16" s="138">
        <f>SUM(K16:O16)</f>
        <v>8280433.130000001</v>
      </c>
      <c r="Q16" s="62">
        <v>0</v>
      </c>
      <c r="R16" s="139">
        <v>71320907.64</v>
      </c>
      <c r="T16" s="33">
        <f>R15+P16-Q16-I16</f>
        <v>7426320.460000001</v>
      </c>
      <c r="U16" s="33">
        <v>0</v>
      </c>
    </row>
    <row r="17" spans="1:21" ht="12">
      <c r="A17" s="125">
        <v>39450</v>
      </c>
      <c r="B17" s="62">
        <v>0</v>
      </c>
      <c r="C17" s="62">
        <v>0</v>
      </c>
      <c r="D17" s="62">
        <f>12080.43+17365.62+12800+6000+1630</f>
        <v>49876.05</v>
      </c>
      <c r="E17" s="62">
        <f>189.77+627.82+4761.6+10598.4+30778.94+6935</f>
        <v>53891.53</v>
      </c>
      <c r="F17" s="62">
        <f>552658.19</f>
        <v>552658.19</v>
      </c>
      <c r="G17" s="62">
        <f>22966.7*2+2996.1*2+92.17+730.46+92.18+6805.1*2+3745.71+941.93*2+46507.85+35094.8+1322.51*2+155000*2+13000</f>
        <v>479327.85</v>
      </c>
      <c r="H17" s="62">
        <v>0</v>
      </c>
      <c r="I17" s="126">
        <f>SUM(B17:H17)</f>
        <v>1135753.6199999999</v>
      </c>
      <c r="J17" s="62">
        <v>18538124.5</v>
      </c>
      <c r="K17" s="62">
        <v>1443295.07</v>
      </c>
      <c r="L17" s="62">
        <v>242710.92</v>
      </c>
      <c r="M17" s="62">
        <v>0</v>
      </c>
      <c r="N17" s="62">
        <v>237070.93</v>
      </c>
      <c r="O17" s="62">
        <f>134441.06+2539107.6+19573.92+1163226.77+429.36</f>
        <v>3856778.71</v>
      </c>
      <c r="P17" s="138">
        <f>SUM(K17:O17)</f>
        <v>5779855.63</v>
      </c>
      <c r="Q17" s="62">
        <f>135177.29+2533872.12+155000+155000+13000</f>
        <v>2992049.41</v>
      </c>
      <c r="R17" s="139">
        <v>73295960.24</v>
      </c>
      <c r="T17" s="33">
        <f>R16+P17-Q17-I17</f>
        <v>72972960.24</v>
      </c>
      <c r="U17" s="33">
        <f>T17-R17</f>
        <v>-323000</v>
      </c>
    </row>
    <row r="18" spans="1:21" ht="12">
      <c r="A18" s="125">
        <v>39451</v>
      </c>
      <c r="B18" s="62">
        <v>0</v>
      </c>
      <c r="C18" s="62">
        <v>0</v>
      </c>
      <c r="D18" s="62">
        <v>0</v>
      </c>
      <c r="E18" s="62">
        <f>49976.39+5952</f>
        <v>55928.39</v>
      </c>
      <c r="F18" s="62">
        <v>56650.68</v>
      </c>
      <c r="G18" s="62">
        <f>1163975.6292</f>
        <v>1163975.6292</v>
      </c>
      <c r="H18" s="62">
        <v>0</v>
      </c>
      <c r="I18" s="126">
        <f>SUM(B18:H18)</f>
        <v>1276554.6992</v>
      </c>
      <c r="J18" s="62">
        <v>18855297.7</v>
      </c>
      <c r="K18" s="62">
        <v>1148207.51</v>
      </c>
      <c r="L18" s="62">
        <v>1483263.7</v>
      </c>
      <c r="M18" s="62">
        <v>0</v>
      </c>
      <c r="N18" s="62">
        <v>144217.84</v>
      </c>
      <c r="O18" s="62">
        <v>0</v>
      </c>
      <c r="P18" s="138">
        <f>SUM(K18:O18)</f>
        <v>2775689.05</v>
      </c>
      <c r="Q18" s="62">
        <v>0</v>
      </c>
      <c r="R18" s="139">
        <v>74162340.72</v>
      </c>
      <c r="T18" s="33">
        <f>R17+P18-Q18-I18</f>
        <v>74795094.59079999</v>
      </c>
      <c r="U18" s="33">
        <f>T18-R18</f>
        <v>632753.8707999885</v>
      </c>
    </row>
    <row r="19" spans="1:21" ht="12">
      <c r="A19" s="125">
        <v>39454</v>
      </c>
      <c r="B19" s="62">
        <v>0</v>
      </c>
      <c r="C19" s="62">
        <v>0</v>
      </c>
      <c r="D19" s="62">
        <v>5000</v>
      </c>
      <c r="E19" s="62">
        <f>32305-5000</f>
        <v>27305</v>
      </c>
      <c r="F19" s="62">
        <v>20000</v>
      </c>
      <c r="G19" s="62">
        <f>400000*2+20000</f>
        <v>820000</v>
      </c>
      <c r="H19" s="62">
        <v>0</v>
      </c>
      <c r="I19" s="126">
        <f>SUM(B19:H19)</f>
        <v>872305</v>
      </c>
      <c r="J19" s="62">
        <v>19256020.28</v>
      </c>
      <c r="K19" s="62">
        <v>1035984.33</v>
      </c>
      <c r="L19" s="62">
        <v>334210.22</v>
      </c>
      <c r="M19" s="62">
        <v>0</v>
      </c>
      <c r="N19" s="62">
        <v>234427.16</v>
      </c>
      <c r="O19" s="62">
        <v>0</v>
      </c>
      <c r="P19" s="138">
        <f>SUM(K19:O19)</f>
        <v>1604621.71</v>
      </c>
      <c r="Q19" s="62">
        <v>0</v>
      </c>
      <c r="R19" s="139">
        <v>74894657.43</v>
      </c>
      <c r="T19" s="33">
        <f>R18+P19-Q19-I19</f>
        <v>74894657.42999999</v>
      </c>
      <c r="U19" s="33">
        <f>T19-R19</f>
        <v>0</v>
      </c>
    </row>
    <row r="20" spans="1:21" ht="12">
      <c r="A20" s="125">
        <v>39455</v>
      </c>
      <c r="B20" s="62">
        <v>0</v>
      </c>
      <c r="C20" s="62">
        <v>100733.33</v>
      </c>
      <c r="D20" s="62">
        <f>272700.7+457735.8+22650.82+11325.41+1881</f>
        <v>766293.73</v>
      </c>
      <c r="E20" s="62">
        <f>48148.94+5671.83+4983.75</f>
        <v>58804.520000000004</v>
      </c>
      <c r="F20" s="62">
        <f>50000+50000</f>
        <v>100000</v>
      </c>
      <c r="G20" s="62">
        <f>80000*2+7500</f>
        <v>167500</v>
      </c>
      <c r="H20" s="62">
        <v>0</v>
      </c>
      <c r="I20" s="126">
        <f>SUM(B20:H20)</f>
        <v>1193331.58</v>
      </c>
      <c r="J20" s="62">
        <v>20257946.62</v>
      </c>
      <c r="K20" s="62">
        <v>1016767.36</v>
      </c>
      <c r="L20" s="62">
        <v>544677.05</v>
      </c>
      <c r="M20" s="62">
        <v>0</v>
      </c>
      <c r="N20" s="62">
        <v>65585.75</v>
      </c>
      <c r="O20" s="62">
        <f>6583.5+531022.62+41347.48+1234.71</f>
        <v>580188.3099999999</v>
      </c>
      <c r="P20" s="138">
        <f>SUM(K20:O20)</f>
        <v>2207218.4699999997</v>
      </c>
      <c r="Q20" s="62">
        <v>0</v>
      </c>
      <c r="R20" s="139">
        <v>75908544.32</v>
      </c>
      <c r="T20" s="33">
        <f>R19+P20-Q20-I20</f>
        <v>75908544.32000001</v>
      </c>
      <c r="U20" s="33">
        <f>T20-R20</f>
        <v>0</v>
      </c>
    </row>
    <row r="21" spans="1:21" ht="12">
      <c r="A21" s="125">
        <v>39456</v>
      </c>
      <c r="B21" s="62">
        <v>0</v>
      </c>
      <c r="C21" s="62">
        <v>0</v>
      </c>
      <c r="D21" s="62">
        <v>266424.68</v>
      </c>
      <c r="E21" s="62">
        <f>82954.92+3484.8</f>
        <v>86439.72</v>
      </c>
      <c r="F21" s="62">
        <v>70000</v>
      </c>
      <c r="G21" s="62">
        <f>380000+79580.43+1047.42+82290.55+139750.93+3000</f>
        <v>685669.3300000001</v>
      </c>
      <c r="H21" s="62">
        <v>0</v>
      </c>
      <c r="I21" s="126">
        <f>SUM(B21:H21)</f>
        <v>1108533.73</v>
      </c>
      <c r="J21" s="62">
        <v>20757138.36</v>
      </c>
      <c r="K21" s="62">
        <v>1250453.49</v>
      </c>
      <c r="L21" s="62">
        <v>1069314.03</v>
      </c>
      <c r="M21" s="62">
        <v>0</v>
      </c>
      <c r="N21" s="62">
        <v>68542.11</v>
      </c>
      <c r="O21" s="62">
        <f>4395.24+2644.95</f>
        <v>7040.19</v>
      </c>
      <c r="P21" s="138">
        <f>SUM(K21:O21)</f>
        <v>2395349.8200000003</v>
      </c>
      <c r="Q21" s="62">
        <v>0</v>
      </c>
      <c r="R21" s="139">
        <v>77095360.41</v>
      </c>
      <c r="T21" s="33">
        <f>R20+P21-Q21-I21</f>
        <v>77195360.40999998</v>
      </c>
      <c r="U21" s="33">
        <f>T21-R21</f>
        <v>99999.9999999851</v>
      </c>
    </row>
    <row r="22" spans="1:21" ht="12">
      <c r="A22" s="125">
        <v>39457</v>
      </c>
      <c r="B22" s="62">
        <f>24372162.44+146000+800000+586000</f>
        <v>25904162.44</v>
      </c>
      <c r="C22" s="62">
        <v>367107.5</v>
      </c>
      <c r="D22" s="62">
        <v>0</v>
      </c>
      <c r="E22" s="62">
        <f>43244.26+44249.2+20000</f>
        <v>107493.45999999999</v>
      </c>
      <c r="F22" s="62">
        <f>60515.58+30000+19537.1+30000+48772.31+26000+208000</f>
        <v>422824.99</v>
      </c>
      <c r="G22" s="62">
        <f>77330.66+396931.66+108.79+126.18+9000+150578.98+22098.6+87471.6+87118.8+3860.01+48872.01+75425.49+81441.81</f>
        <v>1040364.5899999999</v>
      </c>
      <c r="H22" s="62">
        <v>0</v>
      </c>
      <c r="I22" s="126">
        <f>SUM(B22:H22)</f>
        <v>27841952.98</v>
      </c>
      <c r="J22" s="62">
        <v>-5323533.34</v>
      </c>
      <c r="K22" s="62">
        <v>922376.46</v>
      </c>
      <c r="L22" s="62">
        <f>168846.29+117544.06+787982.69</f>
        <v>1074373.04</v>
      </c>
      <c r="M22" s="62">
        <v>0</v>
      </c>
      <c r="N22" s="62">
        <v>2740026.15</v>
      </c>
      <c r="O22" s="62">
        <v>0</v>
      </c>
      <c r="P22" s="138">
        <f>SUM(K22:O22)</f>
        <v>4736775.65</v>
      </c>
      <c r="Q22" s="62">
        <v>0</v>
      </c>
      <c r="R22" s="139">
        <v>54256338.27</v>
      </c>
      <c r="T22" s="33">
        <f>R21+P22-Q22-I22</f>
        <v>53990183.08</v>
      </c>
      <c r="U22" s="33">
        <f>T22-R22</f>
        <v>-266155.19000000507</v>
      </c>
    </row>
    <row r="23" spans="1:21" ht="12">
      <c r="A23" s="125">
        <v>39458</v>
      </c>
      <c r="B23" s="62">
        <f>4699.32+3133.06+2344.65+132000</f>
        <v>142177.03</v>
      </c>
      <c r="C23" s="62">
        <v>587392.81</v>
      </c>
      <c r="D23" s="62">
        <f>182620.53+106460.04+20000+40000+20000+20000+20000</f>
        <v>409080.57</v>
      </c>
      <c r="E23" s="62">
        <f>81.91</f>
        <v>81.91</v>
      </c>
      <c r="F23" s="62">
        <f>10000+40000</f>
        <v>50000</v>
      </c>
      <c r="G23" s="62">
        <f>22098.6+79580.44+1047.42+77330.67+419701.22+15153.98+248705.66+381742.69</f>
        <v>1245360.68</v>
      </c>
      <c r="H23" s="62">
        <v>0</v>
      </c>
      <c r="I23" s="126">
        <f>SUM(B23:H23)</f>
        <v>2434093</v>
      </c>
      <c r="J23" s="62">
        <v>95625.06</v>
      </c>
      <c r="K23" s="62">
        <v>4154526.14</v>
      </c>
      <c r="L23" s="62">
        <f>496230.82+87264.92+377710.18</f>
        <v>961205.9199999999</v>
      </c>
      <c r="M23" s="62">
        <v>2555032.63</v>
      </c>
      <c r="N23" s="62">
        <f>15560.49+1361.5+511+90+532+100+1600+88885.96+14955.43+300+15153.98+142.9+6061.13+100+3766.5</f>
        <v>149120.89</v>
      </c>
      <c r="O23" s="62">
        <f>583.74+835.03</f>
        <v>1418.77</v>
      </c>
      <c r="P23" s="138">
        <f>SUM(K23:O23)</f>
        <v>7821304.35</v>
      </c>
      <c r="Q23" s="62">
        <v>0</v>
      </c>
      <c r="R23" s="139">
        <v>59642130.85</v>
      </c>
      <c r="T23" s="33">
        <f>R22+P23-Q23-I23</f>
        <v>59643549.620000005</v>
      </c>
      <c r="U23" s="33">
        <f>T23-R23</f>
        <v>1418.7700000032783</v>
      </c>
    </row>
    <row r="24" spans="1:21" ht="12">
      <c r="A24" s="125">
        <v>39461</v>
      </c>
      <c r="B24" s="62">
        <f>201536.51+162540.57</f>
        <v>364077.08</v>
      </c>
      <c r="C24" s="62">
        <f>486340.23+486336.94</f>
        <v>972677.1699999999</v>
      </c>
      <c r="D24" s="62">
        <v>0</v>
      </c>
      <c r="E24" s="62">
        <v>0</v>
      </c>
      <c r="F24" s="62">
        <v>100000</v>
      </c>
      <c r="G24" s="62">
        <v>1421231.44</v>
      </c>
      <c r="H24" s="62">
        <v>0</v>
      </c>
      <c r="I24" s="126">
        <f>SUM(B24:H24)</f>
        <v>2857985.69</v>
      </c>
      <c r="J24" s="62">
        <v>7080388.02</v>
      </c>
      <c r="K24" s="62">
        <v>3462132.08</v>
      </c>
      <c r="L24" s="62">
        <v>2222264.85</v>
      </c>
      <c r="M24" s="62">
        <v>2488329.76</v>
      </c>
      <c r="N24" s="62">
        <v>147217.56</v>
      </c>
      <c r="O24" s="62">
        <v>200203.32</v>
      </c>
      <c r="P24" s="138">
        <f>SUM(K24:O24)</f>
        <v>8520147.57</v>
      </c>
      <c r="Q24" s="62">
        <v>52529.13</v>
      </c>
      <c r="R24" s="139">
        <v>65453300.11</v>
      </c>
      <c r="T24" s="33">
        <f>R23+P24-Q24-I24</f>
        <v>65251763.60000001</v>
      </c>
      <c r="U24" s="33">
        <f>T24-R24</f>
        <v>-201536.50999999046</v>
      </c>
    </row>
    <row r="25" spans="1:21" ht="12">
      <c r="A25" s="125">
        <v>39462</v>
      </c>
      <c r="B25" s="62">
        <f>102749.99</f>
        <v>102749.99</v>
      </c>
      <c r="C25" s="62">
        <v>0</v>
      </c>
      <c r="D25" s="62">
        <v>20000</v>
      </c>
      <c r="E25" s="62">
        <v>233344.98</v>
      </c>
      <c r="F25" s="62">
        <v>95000</v>
      </c>
      <c r="G25" s="62">
        <v>0</v>
      </c>
      <c r="H25" s="62">
        <v>0</v>
      </c>
      <c r="I25" s="126">
        <f>SUM(B25:H25)</f>
        <v>451094.97</v>
      </c>
      <c r="J25" s="62">
        <v>13304151.03</v>
      </c>
      <c r="K25" s="62">
        <v>4673745.74</v>
      </c>
      <c r="L25" s="62">
        <v>2653949.46</v>
      </c>
      <c r="M25" s="62">
        <v>0</v>
      </c>
      <c r="N25" s="62">
        <v>3897958.84</v>
      </c>
      <c r="O25" s="62">
        <v>4151.33</v>
      </c>
      <c r="P25" s="138">
        <f>SUM(K25:O25)</f>
        <v>11229805.370000001</v>
      </c>
      <c r="Q25" s="62">
        <v>73893.26</v>
      </c>
      <c r="R25" s="139">
        <v>75555021.96</v>
      </c>
      <c r="T25" s="33">
        <f>R24+P25-Q25-I25</f>
        <v>76158117.25</v>
      </c>
      <c r="U25" s="33">
        <f>T25-R25</f>
        <v>603095.2900000066</v>
      </c>
    </row>
    <row r="26" spans="1:21" ht="12">
      <c r="A26" s="125">
        <v>39463</v>
      </c>
      <c r="B26" s="62">
        <v>1920</v>
      </c>
      <c r="C26" s="62">
        <v>620766.21</v>
      </c>
      <c r="D26" s="62">
        <v>0</v>
      </c>
      <c r="E26" s="62">
        <v>46088.65</v>
      </c>
      <c r="F26" s="62">
        <v>50000</v>
      </c>
      <c r="G26" s="62">
        <v>2508779.42</v>
      </c>
      <c r="H26" s="62">
        <v>0</v>
      </c>
      <c r="I26" s="126">
        <f>SUM(B26:H26)</f>
        <v>3227554.28</v>
      </c>
      <c r="J26" s="62">
        <v>21488555.11</v>
      </c>
      <c r="K26" s="62">
        <v>3652568.38</v>
      </c>
      <c r="L26" s="62">
        <v>3815914.83</v>
      </c>
      <c r="M26" s="62">
        <v>839052.59</v>
      </c>
      <c r="N26" s="62">
        <v>2208375.35</v>
      </c>
      <c r="O26" s="62">
        <v>3637.73</v>
      </c>
      <c r="P26" s="138">
        <f>SUM(K26:O26)</f>
        <v>10519548.879999999</v>
      </c>
      <c r="Q26" s="62">
        <v>0</v>
      </c>
      <c r="R26" s="139">
        <v>82843575.56</v>
      </c>
      <c r="T26" s="33">
        <f>R25+P26-Q26-I26</f>
        <v>82847016.55999999</v>
      </c>
      <c r="U26" s="33">
        <f>T26-R26</f>
        <v>3440.999999985099</v>
      </c>
    </row>
    <row r="27" spans="1:21" ht="12">
      <c r="A27" s="125">
        <v>39464</v>
      </c>
      <c r="B27" s="62">
        <v>408745</v>
      </c>
      <c r="C27" s="62">
        <v>121079.38</v>
      </c>
      <c r="D27" s="62">
        <v>0</v>
      </c>
      <c r="E27" s="62">
        <v>24673.61</v>
      </c>
      <c r="F27" s="62">
        <v>161255</v>
      </c>
      <c r="G27" s="62">
        <v>0</v>
      </c>
      <c r="H27" s="62">
        <v>0</v>
      </c>
      <c r="I27" s="126">
        <f>SUM(B27:H27)</f>
        <v>715752.99</v>
      </c>
      <c r="J27" s="62">
        <v>34416928.29</v>
      </c>
      <c r="K27" s="62">
        <v>2992335.98</v>
      </c>
      <c r="L27" s="62">
        <v>5054700.18</v>
      </c>
      <c r="M27" s="62">
        <v>5594090.01</v>
      </c>
      <c r="N27" s="62">
        <v>382356.24</v>
      </c>
      <c r="O27" s="62">
        <v>0</v>
      </c>
      <c r="P27" s="138">
        <f>SUM(K27:O27)</f>
        <v>14023482.41</v>
      </c>
      <c r="Q27" s="62">
        <v>0</v>
      </c>
      <c r="R27" s="139">
        <v>96151304.98</v>
      </c>
      <c r="T27" s="33">
        <f>R26+P27-Q27-I27</f>
        <v>96151304.98</v>
      </c>
      <c r="U27" s="33">
        <f>T27-R27</f>
        <v>0</v>
      </c>
    </row>
    <row r="28" spans="1:21" ht="12">
      <c r="A28" s="125">
        <v>39465</v>
      </c>
      <c r="B28" s="62">
        <v>33847740.97</v>
      </c>
      <c r="C28" s="62">
        <v>0</v>
      </c>
      <c r="D28" s="62">
        <v>1800</v>
      </c>
      <c r="E28" s="62">
        <v>32435.97</v>
      </c>
      <c r="F28" s="62">
        <f>135205.76+136650.68</f>
        <v>271856.44</v>
      </c>
      <c r="G28" s="62">
        <v>4320744.79</v>
      </c>
      <c r="H28" s="62">
        <v>0</v>
      </c>
      <c r="I28" s="126">
        <f>SUM(B28:H28)</f>
        <v>38474578.17</v>
      </c>
      <c r="J28" s="62">
        <v>51028168.3</v>
      </c>
      <c r="K28" s="62">
        <v>1638999.07</v>
      </c>
      <c r="L28" s="62">
        <v>3562147.56</v>
      </c>
      <c r="M28" s="62">
        <v>954416.45</v>
      </c>
      <c r="N28" s="62">
        <v>4011046.67</v>
      </c>
      <c r="O28" s="62">
        <v>50531296.52</v>
      </c>
      <c r="P28" s="138">
        <f>SUM(K28:O28)</f>
        <v>60697906.27</v>
      </c>
      <c r="Q28" s="62">
        <v>0</v>
      </c>
      <c r="R28" s="139">
        <v>118369177.78</v>
      </c>
      <c r="T28" s="33">
        <f>R27+P28-Q28-I28</f>
        <v>118374633.08</v>
      </c>
      <c r="U28" s="33">
        <f>T28-R28</f>
        <v>5455.29999999702</v>
      </c>
    </row>
    <row r="29" spans="1:21" ht="12">
      <c r="A29" s="125">
        <v>39468</v>
      </c>
      <c r="B29" s="62">
        <v>254089.39</v>
      </c>
      <c r="C29" s="62">
        <f>253290.64+98157.45+24126.87</f>
        <v>375574.96</v>
      </c>
      <c r="D29" s="62">
        <v>20000</v>
      </c>
      <c r="E29" s="62">
        <v>0</v>
      </c>
      <c r="F29" s="62">
        <v>1282002.1</v>
      </c>
      <c r="G29" s="62">
        <v>1410613.34</v>
      </c>
      <c r="H29" s="62">
        <f>11281764.98</f>
        <v>11281764.98</v>
      </c>
      <c r="I29" s="126">
        <f>SUM(B29:H29)</f>
        <v>14624044.770000001</v>
      </c>
      <c r="J29" s="62">
        <v>39257215</v>
      </c>
      <c r="K29" s="62">
        <v>1465407.28</v>
      </c>
      <c r="L29" s="62">
        <v>1677869.18</v>
      </c>
      <c r="M29" s="62">
        <v>0</v>
      </c>
      <c r="N29" s="62">
        <v>76985.39</v>
      </c>
      <c r="O29" s="62">
        <v>37446</v>
      </c>
      <c r="P29" s="138">
        <f>SUM(K29:O29)</f>
        <v>3257707.8499999996</v>
      </c>
      <c r="Q29" s="62">
        <v>0</v>
      </c>
      <c r="R29" s="139">
        <v>108035815.91</v>
      </c>
      <c r="T29" s="33">
        <f>R28+P29-Q29-I29</f>
        <v>107002840.86</v>
      </c>
      <c r="U29" s="33">
        <f>T29-R29</f>
        <v>-1032975.049999997</v>
      </c>
    </row>
    <row r="30" spans="1:21" ht="12">
      <c r="A30" s="125">
        <v>39469</v>
      </c>
      <c r="B30" s="62">
        <f>724730.62+255855.62</f>
        <v>980586.24</v>
      </c>
      <c r="C30" s="62">
        <f>355668.06+101497.22+153725.5+485895.59+211397.82+10112.96+42084.11+42612.89</f>
        <v>1402994.1500000001</v>
      </c>
      <c r="D30" s="62">
        <v>2566639.19</v>
      </c>
      <c r="E30" s="62">
        <v>25192.09</v>
      </c>
      <c r="F30" s="62">
        <v>80950</v>
      </c>
      <c r="G30" s="62">
        <v>6311787.44</v>
      </c>
      <c r="H30" s="62">
        <v>24461.65</v>
      </c>
      <c r="I30" s="126">
        <f>SUM(B30:H30)</f>
        <v>11392610.760000002</v>
      </c>
      <c r="J30" s="62">
        <v>32178273.85</v>
      </c>
      <c r="K30" s="62">
        <v>3302306.81</v>
      </c>
      <c r="L30" s="62">
        <v>519753.75</v>
      </c>
      <c r="M30" s="62">
        <v>0</v>
      </c>
      <c r="N30" s="62">
        <v>319960.58</v>
      </c>
      <c r="O30" s="62">
        <v>2107.82</v>
      </c>
      <c r="P30" s="138">
        <f>SUM(K30:O30)</f>
        <v>4144128.96</v>
      </c>
      <c r="Q30" s="62">
        <v>0</v>
      </c>
      <c r="R30" s="139">
        <v>99754359.05</v>
      </c>
      <c r="T30" s="33">
        <f>R29+P30-Q30-I30</f>
        <v>100787334.10999998</v>
      </c>
      <c r="U30" s="33">
        <f>T30-R30</f>
        <v>1032975.0599999875</v>
      </c>
    </row>
    <row r="31" spans="1:21" ht="12">
      <c r="A31" s="125">
        <v>39470</v>
      </c>
      <c r="B31" s="62">
        <v>15940.08</v>
      </c>
      <c r="C31" s="62">
        <f>673050.71+305584.86</f>
        <v>978635.57</v>
      </c>
      <c r="D31" s="62">
        <v>26342.8</v>
      </c>
      <c r="E31" s="62">
        <v>13463.52</v>
      </c>
      <c r="F31" s="62">
        <v>15000</v>
      </c>
      <c r="G31" s="62">
        <v>2510243.78</v>
      </c>
      <c r="H31" s="62">
        <v>0</v>
      </c>
      <c r="I31" s="126">
        <f>SUM(B31:H31)</f>
        <v>3559625.75</v>
      </c>
      <c r="J31" s="62">
        <v>35666206.35</v>
      </c>
      <c r="K31" s="62">
        <v>5471139.81</v>
      </c>
      <c r="L31" s="62">
        <v>2433726.58</v>
      </c>
      <c r="M31" s="62">
        <v>0</v>
      </c>
      <c r="N31" s="62">
        <v>173485.25</v>
      </c>
      <c r="O31" s="62">
        <v>82348.72</v>
      </c>
      <c r="P31" s="138">
        <f>SUM(K31:O31)</f>
        <v>8160700.359999999</v>
      </c>
      <c r="Q31" s="62">
        <v>0</v>
      </c>
      <c r="R31" s="139">
        <v>106936423.84</v>
      </c>
      <c r="T31" s="33">
        <f>R30+P31-Q31-I31</f>
        <v>104355433.66</v>
      </c>
      <c r="U31" s="33">
        <f>T31-R31</f>
        <v>-2580990.180000007</v>
      </c>
    </row>
    <row r="32" spans="1:21" ht="12">
      <c r="A32" s="125">
        <v>39471</v>
      </c>
      <c r="B32" s="62">
        <v>251666.86</v>
      </c>
      <c r="C32" s="62">
        <v>0</v>
      </c>
      <c r="D32" s="62">
        <v>0</v>
      </c>
      <c r="E32" s="62">
        <v>165878.02</v>
      </c>
      <c r="F32" s="62">
        <v>0</v>
      </c>
      <c r="G32" s="62">
        <v>2014091.82</v>
      </c>
      <c r="H32" s="62">
        <v>0</v>
      </c>
      <c r="I32" s="126">
        <f>SUM(B32:H32)</f>
        <v>2431636.6999999997</v>
      </c>
      <c r="J32" s="62">
        <v>39137315.47</v>
      </c>
      <c r="K32" s="62">
        <v>5030196.01</v>
      </c>
      <c r="L32" s="62">
        <v>333680.22</v>
      </c>
      <c r="M32" s="62">
        <v>509859.06</v>
      </c>
      <c r="N32" s="62">
        <v>66546.09</v>
      </c>
      <c r="O32" s="62">
        <v>0</v>
      </c>
      <c r="P32" s="138">
        <f>SUM(K32:O32)</f>
        <v>5940281.38</v>
      </c>
      <c r="Q32" s="62">
        <v>0</v>
      </c>
      <c r="R32" s="139">
        <v>107864450.67</v>
      </c>
      <c r="T32" s="33">
        <f>R31+P32-Q32-I32</f>
        <v>110445068.52</v>
      </c>
      <c r="U32" s="33">
        <f>T32-R32</f>
        <v>2580617.849999994</v>
      </c>
    </row>
    <row r="33" spans="1:21" ht="12">
      <c r="A33" s="125">
        <v>39472</v>
      </c>
      <c r="B33" s="62">
        <v>537535.37</v>
      </c>
      <c r="C33" s="62">
        <v>0</v>
      </c>
      <c r="D33" s="62">
        <v>228299.69</v>
      </c>
      <c r="E33" s="62">
        <v>10932.91</v>
      </c>
      <c r="F33" s="62">
        <v>87866.73</v>
      </c>
      <c r="G33" s="62">
        <v>1381395.67</v>
      </c>
      <c r="H33" s="62">
        <v>0</v>
      </c>
      <c r="I33" s="126">
        <f>SUM(B33:H33)</f>
        <v>2246030.37</v>
      </c>
      <c r="J33" s="62">
        <v>42057494.05</v>
      </c>
      <c r="K33" s="62">
        <v>4739205.18</v>
      </c>
      <c r="L33" s="62">
        <v>690593.35</v>
      </c>
      <c r="M33" s="62">
        <v>0</v>
      </c>
      <c r="N33" s="62">
        <v>120300.87</v>
      </c>
      <c r="O33" s="62">
        <v>0</v>
      </c>
      <c r="P33" s="138">
        <f>SUM(K33:O33)</f>
        <v>5550099.399999999</v>
      </c>
      <c r="Q33" s="62">
        <v>0</v>
      </c>
      <c r="R33" s="139">
        <v>111168519.7</v>
      </c>
      <c r="T33" s="33">
        <f>R32+P33-Q33-I33</f>
        <v>111168519.7</v>
      </c>
      <c r="U33" s="33">
        <f>T33-R33</f>
        <v>0</v>
      </c>
    </row>
    <row r="34" spans="1:21" ht="12">
      <c r="A34" s="125">
        <v>39475</v>
      </c>
      <c r="B34" s="62">
        <v>4000</v>
      </c>
      <c r="C34" s="62">
        <v>0</v>
      </c>
      <c r="D34" s="62">
        <v>0</v>
      </c>
      <c r="E34" s="62">
        <v>4000</v>
      </c>
      <c r="F34" s="62">
        <v>73325.34</v>
      </c>
      <c r="G34" s="62">
        <v>1454047.78</v>
      </c>
      <c r="H34" s="62">
        <v>0</v>
      </c>
      <c r="I34" s="126">
        <f>SUM(B34:H34)</f>
        <v>1535373.12</v>
      </c>
      <c r="J34" s="62">
        <v>44975147.84</v>
      </c>
      <c r="K34" s="62">
        <v>3398129.96</v>
      </c>
      <c r="L34" s="62">
        <v>764767.23</v>
      </c>
      <c r="M34" s="62">
        <v>0</v>
      </c>
      <c r="N34" s="62">
        <v>509506.92</v>
      </c>
      <c r="O34" s="62">
        <v>680.71</v>
      </c>
      <c r="P34" s="138">
        <f>SUM(K34:O34)</f>
        <v>4673084.82</v>
      </c>
      <c r="Q34" s="62">
        <v>120057.91</v>
      </c>
      <c r="R34" s="139">
        <v>114086173.49</v>
      </c>
      <c r="T34" s="33">
        <f>R33+P34-Q34-I34</f>
        <v>114186173.49000001</v>
      </c>
      <c r="U34" s="33">
        <f>T34-R34</f>
        <v>100000.0000000149</v>
      </c>
    </row>
    <row r="35" spans="1:21" ht="12">
      <c r="A35" s="125">
        <v>39476</v>
      </c>
      <c r="B35" s="62">
        <v>14466.37</v>
      </c>
      <c r="C35" s="62"/>
      <c r="D35" s="62">
        <v>1342.86</v>
      </c>
      <c r="E35" s="62">
        <v>13968.66</v>
      </c>
      <c r="F35" s="62">
        <v>20000</v>
      </c>
      <c r="G35" s="62">
        <f>889350.09+1033608.08+64719.16</f>
        <v>1987677.3299999998</v>
      </c>
      <c r="H35" s="62">
        <v>0</v>
      </c>
      <c r="I35" s="126">
        <f>SUM(B35:H35)</f>
        <v>2037455.22</v>
      </c>
      <c r="J35" s="62">
        <v>44899810.86</v>
      </c>
      <c r="K35" s="62">
        <v>2023976.88</v>
      </c>
      <c r="L35" s="62">
        <v>778230.59</v>
      </c>
      <c r="M35" s="62">
        <v>0</v>
      </c>
      <c r="N35" s="62">
        <v>177395.41</v>
      </c>
      <c r="O35" s="62">
        <v>1723.98</v>
      </c>
      <c r="P35" s="138">
        <f>SUM(K35:O35)</f>
        <v>2981326.86</v>
      </c>
      <c r="Q35" s="62">
        <v>0</v>
      </c>
      <c r="R35" s="139">
        <v>115030045.13</v>
      </c>
      <c r="T35" s="33">
        <f>R34+P35-Q35-I35</f>
        <v>115030045.13</v>
      </c>
      <c r="U35" s="33">
        <f>T35-R35</f>
        <v>0</v>
      </c>
    </row>
    <row r="36" spans="1:21" ht="12">
      <c r="A36" s="125">
        <v>39477</v>
      </c>
      <c r="B36" s="62">
        <f>440.9+1419.04+4603.94</f>
        <v>6463.879999999999</v>
      </c>
      <c r="C36" s="62">
        <v>0</v>
      </c>
      <c r="D36" s="62">
        <f>664300+650+469962.3+268938.7+1881+26264.36</f>
        <v>1431996.36</v>
      </c>
      <c r="E36" s="62">
        <f>4185+1395+21064.5</f>
        <v>26644.5</v>
      </c>
      <c r="F36" s="62">
        <f>206075.09+20000</f>
        <v>226075.09</v>
      </c>
      <c r="G36" s="62">
        <f>258335.14+258335.14+22733.49+103002.63+137264.87+5848.06</f>
        <v>785519.3300000001</v>
      </c>
      <c r="H36" s="62">
        <v>0</v>
      </c>
      <c r="I36" s="126">
        <f>SUM(B36:H36)</f>
        <v>2476699.16</v>
      </c>
      <c r="J36" s="142">
        <v>44646333.12</v>
      </c>
      <c r="K36" s="62">
        <v>1105478.89</v>
      </c>
      <c r="L36" s="62">
        <v>191447.34</v>
      </c>
      <c r="M36" s="62">
        <v>0</v>
      </c>
      <c r="N36" s="62">
        <v>40020.5</v>
      </c>
      <c r="O36" s="62">
        <v>1342.86</v>
      </c>
      <c r="P36" s="138">
        <f>SUM(K36:O36)</f>
        <v>1338289.5899999999</v>
      </c>
      <c r="Q36" s="62">
        <v>0</v>
      </c>
      <c r="R36" s="139">
        <v>114942602.72</v>
      </c>
      <c r="T36" s="33">
        <f>R35+P36-Q36-I36</f>
        <v>113891635.56</v>
      </c>
      <c r="U36" s="33">
        <f>T36-R36</f>
        <v>-1050967.1599999964</v>
      </c>
    </row>
    <row r="37" spans="1:18" ht="12">
      <c r="A37" s="127" t="s">
        <v>376</v>
      </c>
      <c r="B37" s="126">
        <f>SUM(B16:B36)</f>
        <v>62850769.779999994</v>
      </c>
      <c r="C37" s="126">
        <f>SUM(C16:C36)</f>
        <v>6277437.5</v>
      </c>
      <c r="D37" s="126">
        <f>SUM(D16:D36)</f>
        <v>5805611.960000001</v>
      </c>
      <c r="E37" s="126">
        <f>SUM(E16:E36)</f>
        <v>1013823.76</v>
      </c>
      <c r="F37" s="126">
        <f>SUM(F16:F36)</f>
        <v>3784879.3799999994</v>
      </c>
      <c r="G37" s="126">
        <f>SUM(G16:G36)</f>
        <v>31708330.2192</v>
      </c>
      <c r="H37" s="126">
        <f>SUM(H16:H36)</f>
        <v>11306226.63</v>
      </c>
      <c r="I37" s="126">
        <f>SUM(I16:I36)</f>
        <v>122747079.2292</v>
      </c>
      <c r="J37" s="141"/>
      <c r="K37" s="126">
        <f>SUM(K16:K36)</f>
        <v>55493563.2</v>
      </c>
      <c r="L37" s="126">
        <f>SUM(L16:L36)</f>
        <v>32778717.180000003</v>
      </c>
      <c r="M37" s="126">
        <f>SUM(M16:M36)</f>
        <v>12940780.5</v>
      </c>
      <c r="N37" s="126">
        <f>SUM(N16:N36)</f>
        <v>16021165.59</v>
      </c>
      <c r="O37" s="126">
        <f>SUM(O16:O36)</f>
        <v>59403531.06</v>
      </c>
      <c r="P37" s="126">
        <f>SUM(P16:P36)</f>
        <v>176637757.53000003</v>
      </c>
      <c r="Q37" s="126">
        <f>SUM(Q16:Q36)</f>
        <v>3238529.71</v>
      </c>
      <c r="R37" s="141"/>
    </row>
    <row r="39" spans="2:18" ht="12">
      <c r="B39" s="135" t="s">
        <v>383</v>
      </c>
      <c r="C39" s="135"/>
      <c r="D39" s="135"/>
      <c r="E39" s="135"/>
      <c r="F39" s="135"/>
      <c r="G39" s="135"/>
      <c r="H39" s="135"/>
      <c r="I39" s="135"/>
      <c r="J39" s="134" t="s">
        <v>384</v>
      </c>
      <c r="K39" s="135" t="s">
        <v>385</v>
      </c>
      <c r="L39" s="135"/>
      <c r="M39" s="135"/>
      <c r="N39" s="135"/>
      <c r="O39" s="135"/>
      <c r="P39" s="135"/>
      <c r="Q39" s="136" t="s">
        <v>386</v>
      </c>
      <c r="R39" s="124" t="s">
        <v>387</v>
      </c>
    </row>
    <row r="40" spans="1:18" ht="12">
      <c r="A40" s="122" t="s">
        <v>367</v>
      </c>
      <c r="B40" s="122" t="s">
        <v>369</v>
      </c>
      <c r="C40" s="123" t="s">
        <v>370</v>
      </c>
      <c r="D40" s="122" t="s">
        <v>36</v>
      </c>
      <c r="E40" s="122" t="s">
        <v>371</v>
      </c>
      <c r="F40" s="122" t="s">
        <v>372</v>
      </c>
      <c r="G40" s="122" t="s">
        <v>373</v>
      </c>
      <c r="H40" s="122" t="s">
        <v>374</v>
      </c>
      <c r="I40" s="124" t="s">
        <v>375</v>
      </c>
      <c r="J40" s="134"/>
      <c r="K40" s="122" t="s">
        <v>388</v>
      </c>
      <c r="L40" s="122" t="s">
        <v>389</v>
      </c>
      <c r="M40" s="122" t="s">
        <v>20</v>
      </c>
      <c r="N40" s="122" t="s">
        <v>390</v>
      </c>
      <c r="O40" s="122" t="s">
        <v>37</v>
      </c>
      <c r="P40" s="124" t="s">
        <v>391</v>
      </c>
      <c r="Q40" s="136"/>
      <c r="R40" s="136"/>
    </row>
    <row r="41" spans="1:21" ht="12">
      <c r="A41" s="125">
        <v>39479</v>
      </c>
      <c r="B41" s="62">
        <v>9356.94</v>
      </c>
      <c r="C41" s="62">
        <v>0</v>
      </c>
      <c r="D41" s="62">
        <v>110440</v>
      </c>
      <c r="E41" s="62">
        <v>20000</v>
      </c>
      <c r="F41" s="62">
        <v>320000</v>
      </c>
      <c r="G41" s="62">
        <v>0</v>
      </c>
      <c r="H41" s="62">
        <v>0</v>
      </c>
      <c r="I41" s="126">
        <f>SUM(B41:H41)</f>
        <v>459796.94</v>
      </c>
      <c r="J41" s="62">
        <v>47677526.81</v>
      </c>
      <c r="K41" s="62">
        <v>619638.27</v>
      </c>
      <c r="L41" s="62">
        <v>270723.32</v>
      </c>
      <c r="M41" s="62">
        <v>0</v>
      </c>
      <c r="N41" s="62">
        <v>267049.32</v>
      </c>
      <c r="O41" s="62">
        <v>3587602.86</v>
      </c>
      <c r="P41" s="126">
        <f>SUM(K41:O41)</f>
        <v>4745013.77</v>
      </c>
      <c r="Q41" s="143">
        <v>141.48</v>
      </c>
      <c r="R41" s="139">
        <v>118051418.72</v>
      </c>
      <c r="T41" s="25">
        <f>R40+P41-I41-Q41</f>
        <v>4285075.349999999</v>
      </c>
      <c r="U41">
        <v>0</v>
      </c>
    </row>
    <row r="42" spans="1:21" ht="12">
      <c r="A42" s="125">
        <v>39482</v>
      </c>
      <c r="B42" s="62">
        <v>47637.5</v>
      </c>
      <c r="C42" s="62">
        <v>0</v>
      </c>
      <c r="D42" s="62">
        <v>180754.29</v>
      </c>
      <c r="E42" s="62">
        <v>50798.27</v>
      </c>
      <c r="F42" s="62">
        <v>65000</v>
      </c>
      <c r="G42" s="62">
        <v>227394.05</v>
      </c>
      <c r="H42" s="62">
        <v>5020216.55</v>
      </c>
      <c r="I42" s="126">
        <f>SUM(B42:H42)</f>
        <v>5591800.66</v>
      </c>
      <c r="J42" s="62">
        <v>50295988.66</v>
      </c>
      <c r="K42" s="62">
        <v>717218.21</v>
      </c>
      <c r="L42" s="62">
        <v>187094.58</v>
      </c>
      <c r="M42" s="62">
        <v>0</v>
      </c>
      <c r="N42" s="62">
        <v>1614516.48</v>
      </c>
      <c r="O42" s="62">
        <v>3506017.75</v>
      </c>
      <c r="P42" s="126">
        <f>SUM(K42:O42)</f>
        <v>6024847.0200000005</v>
      </c>
      <c r="Q42" s="143">
        <v>2718107.8</v>
      </c>
      <c r="R42" s="139">
        <v>115766388.28</v>
      </c>
      <c r="T42" s="25">
        <f>R41+P42-I42-Q42</f>
        <v>115766357.28</v>
      </c>
      <c r="U42" s="25">
        <f>T42-R42</f>
        <v>-31</v>
      </c>
    </row>
    <row r="43" spans="1:21" ht="12">
      <c r="A43" s="125">
        <v>39483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126">
        <f>SUM(B43:H43)</f>
        <v>0</v>
      </c>
      <c r="J43" s="62">
        <v>51341542.34</v>
      </c>
      <c r="K43" s="62">
        <v>888314.02</v>
      </c>
      <c r="L43" s="62">
        <v>153211.32</v>
      </c>
      <c r="M43" s="62">
        <v>0</v>
      </c>
      <c r="N43" s="62">
        <v>411674.34</v>
      </c>
      <c r="O43" s="62">
        <v>0</v>
      </c>
      <c r="P43" s="126">
        <f>SUM(K43:O43)</f>
        <v>1453199.6800000002</v>
      </c>
      <c r="Q43" s="143">
        <v>0</v>
      </c>
      <c r="R43" s="139">
        <v>117219587.96</v>
      </c>
      <c r="T43" s="25">
        <f>R42+P43-I43-Q43</f>
        <v>117219587.96000001</v>
      </c>
      <c r="U43" s="25">
        <f>T43-R43</f>
        <v>0</v>
      </c>
    </row>
    <row r="44" spans="1:21" ht="12">
      <c r="A44" s="125">
        <v>39484</v>
      </c>
      <c r="B44" s="62">
        <v>47682332.98</v>
      </c>
      <c r="C44" s="62">
        <v>0</v>
      </c>
      <c r="D44" s="62">
        <v>68580.71</v>
      </c>
      <c r="E44" s="62">
        <v>19280</v>
      </c>
      <c r="F44" s="62">
        <v>978687.72</v>
      </c>
      <c r="G44" s="62">
        <v>609664.18</v>
      </c>
      <c r="H44" s="62">
        <v>0</v>
      </c>
      <c r="I44" s="126">
        <f>SUM(B44:H44)</f>
        <v>49358545.589999996</v>
      </c>
      <c r="J44" s="62">
        <v>3819128.6</v>
      </c>
      <c r="K44" s="62">
        <v>2122287.14</v>
      </c>
      <c r="L44" s="62">
        <v>709022.58</v>
      </c>
      <c r="M44" s="62">
        <v>0</v>
      </c>
      <c r="N44" s="62">
        <v>100290.18</v>
      </c>
      <c r="O44" s="62">
        <v>0</v>
      </c>
      <c r="P44" s="126">
        <f>SUM(K44:O44)</f>
        <v>2931599.9000000004</v>
      </c>
      <c r="Q44" s="143">
        <v>0</v>
      </c>
      <c r="R44" s="139">
        <v>70792642.27</v>
      </c>
      <c r="T44" s="25">
        <f>R43+P44-I44-Q44</f>
        <v>70792642.27000001</v>
      </c>
      <c r="U44" s="25">
        <f>T44-R44</f>
        <v>0</v>
      </c>
    </row>
    <row r="45" spans="1:21" ht="12">
      <c r="A45" s="125">
        <v>39485</v>
      </c>
      <c r="B45" s="62">
        <v>236433.27</v>
      </c>
      <c r="C45" s="62">
        <v>0</v>
      </c>
      <c r="D45" s="62">
        <v>126311.94</v>
      </c>
      <c r="E45" s="62">
        <v>45607.2</v>
      </c>
      <c r="F45" s="62">
        <v>0</v>
      </c>
      <c r="G45" s="62">
        <v>382340.68</v>
      </c>
      <c r="H45" s="62">
        <v>0</v>
      </c>
      <c r="I45" s="126">
        <f>SUM(B45:H45)</f>
        <v>790693.0900000001</v>
      </c>
      <c r="J45" s="62">
        <v>5421105.68</v>
      </c>
      <c r="K45" s="62">
        <v>2061033.79</v>
      </c>
      <c r="L45" s="62">
        <v>322475.66</v>
      </c>
      <c r="M45" s="62">
        <v>0</v>
      </c>
      <c r="N45" s="62">
        <v>56653.76</v>
      </c>
      <c r="O45" s="62">
        <v>1398.54</v>
      </c>
      <c r="P45" s="126">
        <f>SUM(K45:O45)</f>
        <v>2441561.75</v>
      </c>
      <c r="Q45" s="143">
        <v>0</v>
      </c>
      <c r="R45" s="139">
        <v>72443510.93</v>
      </c>
      <c r="T45" s="25">
        <f>R44+P45-I45-Q45</f>
        <v>72443510.92999999</v>
      </c>
      <c r="U45" s="25">
        <f>T45-R45</f>
        <v>0</v>
      </c>
    </row>
    <row r="46" spans="1:21" ht="12">
      <c r="A46" s="125">
        <v>39486</v>
      </c>
      <c r="B46" s="62">
        <v>767200</v>
      </c>
      <c r="C46" s="62">
        <v>0</v>
      </c>
      <c r="D46" s="62">
        <v>0</v>
      </c>
      <c r="E46" s="62">
        <v>105550.5</v>
      </c>
      <c r="F46" s="62">
        <v>15000</v>
      </c>
      <c r="G46" s="62">
        <v>1756633.12</v>
      </c>
      <c r="H46" s="62">
        <v>0</v>
      </c>
      <c r="I46" s="126">
        <f>SUM(B46:H46)</f>
        <v>2644383.62</v>
      </c>
      <c r="J46" s="62">
        <v>4264032.58</v>
      </c>
      <c r="K46" s="62">
        <v>788864.33</v>
      </c>
      <c r="L46" s="62">
        <v>671030.77</v>
      </c>
      <c r="M46" s="62">
        <v>0</v>
      </c>
      <c r="N46" s="62">
        <v>71947.7</v>
      </c>
      <c r="O46" s="62">
        <v>36165.4</v>
      </c>
      <c r="P46" s="126">
        <f>SUM(K46:O46)</f>
        <v>1568008.2</v>
      </c>
      <c r="Q46" s="143">
        <v>450</v>
      </c>
      <c r="R46" s="139">
        <v>71366685.51</v>
      </c>
      <c r="T46" s="25">
        <f>R45+P46-I46-Q46</f>
        <v>71366685.51</v>
      </c>
      <c r="U46" s="25">
        <f>T46-R46</f>
        <v>0</v>
      </c>
    </row>
    <row r="47" spans="1:21" ht="12">
      <c r="A47" s="125">
        <v>39489</v>
      </c>
      <c r="B47" s="62">
        <v>6700</v>
      </c>
      <c r="C47" s="62">
        <v>102413.89</v>
      </c>
      <c r="D47" s="62">
        <v>300000</v>
      </c>
      <c r="E47" s="62">
        <v>39428.74</v>
      </c>
      <c r="F47" s="62">
        <v>155000</v>
      </c>
      <c r="G47" s="62">
        <v>604145.39</v>
      </c>
      <c r="H47" s="62">
        <v>0</v>
      </c>
      <c r="I47" s="126">
        <f>SUM(B47:H47)</f>
        <v>1207688.02</v>
      </c>
      <c r="J47" s="62">
        <v>4318792.92</v>
      </c>
      <c r="K47" s="62">
        <v>690962.68</v>
      </c>
      <c r="L47" s="62">
        <v>1291525.6</v>
      </c>
      <c r="M47" s="62">
        <v>0</v>
      </c>
      <c r="N47" s="62">
        <v>552537.66</v>
      </c>
      <c r="O47" s="62">
        <v>0</v>
      </c>
      <c r="P47" s="126">
        <f>SUM(K47:O47)</f>
        <v>2535025.9400000004</v>
      </c>
      <c r="Q47" s="143">
        <v>0</v>
      </c>
      <c r="R47" s="139">
        <v>72694023.43</v>
      </c>
      <c r="T47" s="25">
        <f>R46+P47-I47-Q47</f>
        <v>72694023.43</v>
      </c>
      <c r="U47" s="25">
        <f>T47-R47</f>
        <v>0</v>
      </c>
    </row>
    <row r="48" spans="1:21" ht="12">
      <c r="A48" s="125">
        <v>39490</v>
      </c>
      <c r="B48" s="62">
        <v>0</v>
      </c>
      <c r="C48" s="62">
        <v>0</v>
      </c>
      <c r="D48" s="62">
        <v>0</v>
      </c>
      <c r="E48" s="62">
        <v>294165.99</v>
      </c>
      <c r="F48" s="62">
        <v>86722.59</v>
      </c>
      <c r="G48" s="62">
        <v>1527704.61</v>
      </c>
      <c r="H48" s="62">
        <v>2258622.93</v>
      </c>
      <c r="I48" s="126">
        <f>SUM(B48:H48)</f>
        <v>4167216.12</v>
      </c>
      <c r="J48" s="62">
        <v>4075263.92</v>
      </c>
      <c r="K48" s="62">
        <v>1625020.05</v>
      </c>
      <c r="L48" s="62">
        <v>702610.53</v>
      </c>
      <c r="M48" s="62">
        <v>0</v>
      </c>
      <c r="N48" s="62">
        <v>107492.72</v>
      </c>
      <c r="O48" s="62">
        <v>28.09</v>
      </c>
      <c r="P48" s="126">
        <f>SUM(K48:O48)</f>
        <v>2435151.39</v>
      </c>
      <c r="Q48" s="143">
        <v>86973.55</v>
      </c>
      <c r="R48" s="139">
        <v>70874985.15</v>
      </c>
      <c r="T48" s="25">
        <f>R47+P48-I48-Q48</f>
        <v>70874985.15</v>
      </c>
      <c r="U48" s="25">
        <f>T48-R48</f>
        <v>0</v>
      </c>
    </row>
    <row r="49" spans="1:21" ht="12">
      <c r="A49" s="125">
        <v>39491</v>
      </c>
      <c r="B49" s="62">
        <v>563086.4</v>
      </c>
      <c r="C49" s="62">
        <v>0</v>
      </c>
      <c r="D49" s="62">
        <v>0</v>
      </c>
      <c r="E49" s="62">
        <v>15624.56</v>
      </c>
      <c r="F49" s="62">
        <v>600171.33</v>
      </c>
      <c r="G49" s="62">
        <v>1162147.92</v>
      </c>
      <c r="H49" s="62">
        <v>0</v>
      </c>
      <c r="I49" s="126">
        <f>SUM(B49:H49)</f>
        <v>2341030.21</v>
      </c>
      <c r="J49" s="62">
        <v>7363231.94</v>
      </c>
      <c r="K49" s="62">
        <v>4611263.36</v>
      </c>
      <c r="L49" s="62">
        <v>1075395.86</v>
      </c>
      <c r="M49" s="62">
        <v>0</v>
      </c>
      <c r="N49" s="62">
        <v>874356.54</v>
      </c>
      <c r="O49" s="62">
        <v>15645.33</v>
      </c>
      <c r="P49" s="126">
        <f>SUM(K49:O49)</f>
        <v>6576661.090000001</v>
      </c>
      <c r="Q49" s="143">
        <v>0</v>
      </c>
      <c r="R49" s="139">
        <v>75110616.03</v>
      </c>
      <c r="T49" s="25">
        <f>R48+P49-I49-Q49</f>
        <v>75110616.03000002</v>
      </c>
      <c r="U49" s="25">
        <f>T49-R49</f>
        <v>0</v>
      </c>
    </row>
    <row r="50" spans="1:21" ht="12">
      <c r="A50" s="125">
        <v>39492</v>
      </c>
      <c r="B50" s="62">
        <v>11287414.18</v>
      </c>
      <c r="C50" s="62">
        <v>0</v>
      </c>
      <c r="D50" s="62">
        <v>0</v>
      </c>
      <c r="E50" s="62">
        <v>103715.38</v>
      </c>
      <c r="F50" s="62">
        <v>0</v>
      </c>
      <c r="G50" s="62">
        <v>0</v>
      </c>
      <c r="H50" s="62">
        <v>0</v>
      </c>
      <c r="I50" s="126">
        <f>SUM(B50:H50)</f>
        <v>11391129.56</v>
      </c>
      <c r="J50" s="62">
        <v>4384747.49</v>
      </c>
      <c r="K50" s="62">
        <v>4437517.87</v>
      </c>
      <c r="L50" s="62">
        <v>4111357.9</v>
      </c>
      <c r="M50" s="62">
        <v>0</v>
      </c>
      <c r="N50" s="62">
        <v>118195.05</v>
      </c>
      <c r="O50" s="62">
        <v>471029.77</v>
      </c>
      <c r="P50" s="126">
        <f>SUM(K50:O50)</f>
        <v>9138100.59</v>
      </c>
      <c r="Q50" s="143">
        <v>0</v>
      </c>
      <c r="R50" s="139">
        <v>72857587.06</v>
      </c>
      <c r="T50" s="25">
        <f>R49+P50-I50-Q50</f>
        <v>72857587.06</v>
      </c>
      <c r="U50" s="25">
        <f>T50-R50</f>
        <v>0</v>
      </c>
    </row>
    <row r="51" spans="1:21" ht="12">
      <c r="A51" s="125">
        <v>39493</v>
      </c>
      <c r="B51" s="62">
        <v>250</v>
      </c>
      <c r="C51" s="62">
        <v>0</v>
      </c>
      <c r="D51" s="62">
        <v>214592.89</v>
      </c>
      <c r="E51" s="62">
        <v>86434.37</v>
      </c>
      <c r="F51" s="62">
        <v>747922.41</v>
      </c>
      <c r="G51" s="62">
        <v>3727411.36</v>
      </c>
      <c r="H51" s="62">
        <v>441480.02</v>
      </c>
      <c r="I51" s="126">
        <f>SUM(B51:H51)</f>
        <v>5218091.049999999</v>
      </c>
      <c r="J51" s="62">
        <v>4478850.23</v>
      </c>
      <c r="K51" s="62">
        <v>3410228.24</v>
      </c>
      <c r="L51" s="62">
        <v>3706303.83</v>
      </c>
      <c r="M51" s="62">
        <v>0</v>
      </c>
      <c r="N51" s="62">
        <v>77273.55</v>
      </c>
      <c r="O51" s="62">
        <v>1</v>
      </c>
      <c r="P51" s="126">
        <f>SUM(K51:O51)</f>
        <v>7193806.62</v>
      </c>
      <c r="Q51" s="143">
        <v>73893.26</v>
      </c>
      <c r="R51" s="139">
        <v>74759409.37</v>
      </c>
      <c r="T51" s="25">
        <f>R50+P51-I51-Q51</f>
        <v>74759409.37</v>
      </c>
      <c r="U51" s="25">
        <f>T51-R51</f>
        <v>0</v>
      </c>
    </row>
    <row r="52" spans="1:21" ht="12">
      <c r="A52" s="125">
        <v>39496</v>
      </c>
      <c r="B52" s="62">
        <v>1824924.08</v>
      </c>
      <c r="C52" s="62">
        <f>1532541.67+237015.8</f>
        <v>1769557.47</v>
      </c>
      <c r="D52" s="62">
        <v>30238.05</v>
      </c>
      <c r="E52" s="62">
        <v>5553.26</v>
      </c>
      <c r="F52" s="62">
        <v>235000</v>
      </c>
      <c r="G52" s="62">
        <v>1876809.06</v>
      </c>
      <c r="H52" s="62">
        <v>0</v>
      </c>
      <c r="I52" s="126">
        <f>SUM(B52:H52)</f>
        <v>5742081.92</v>
      </c>
      <c r="J52" s="62">
        <v>11117737.7</v>
      </c>
      <c r="K52" s="62">
        <v>1849132.07</v>
      </c>
      <c r="L52" s="62">
        <v>1389752.53</v>
      </c>
      <c r="M52" s="62">
        <v>7359763.86</v>
      </c>
      <c r="N52" s="62">
        <v>463902.25</v>
      </c>
      <c r="O52" s="62">
        <v>12429.52</v>
      </c>
      <c r="P52" s="126">
        <f>SUM(K52:O52)</f>
        <v>11074980.23</v>
      </c>
      <c r="Q52" s="143">
        <v>0</v>
      </c>
      <c r="R52" s="139">
        <v>80092307.68</v>
      </c>
      <c r="T52" s="25">
        <f>R51+P52-I52</f>
        <v>80092307.68</v>
      </c>
      <c r="U52" s="25">
        <f>T52-R52</f>
        <v>0</v>
      </c>
    </row>
    <row r="53" spans="1:21" ht="12">
      <c r="A53" s="125">
        <v>39497</v>
      </c>
      <c r="B53" s="62">
        <v>795.84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126">
        <f>SUM(B53:H53)</f>
        <v>795.84</v>
      </c>
      <c r="J53" s="62">
        <v>21694362.29</v>
      </c>
      <c r="K53" s="62">
        <v>2511219.65</v>
      </c>
      <c r="L53" s="62">
        <v>4523502.77</v>
      </c>
      <c r="M53" s="62">
        <v>6856592.58</v>
      </c>
      <c r="N53" s="62">
        <v>122613.48</v>
      </c>
      <c r="O53" s="62">
        <f>3904.85+100206.92</f>
        <v>104111.77</v>
      </c>
      <c r="P53" s="126">
        <f>SUM(K53:O53)</f>
        <v>14118040.25</v>
      </c>
      <c r="Q53" s="143">
        <v>0</v>
      </c>
      <c r="R53" s="139">
        <v>94209552.09</v>
      </c>
      <c r="T53" s="25">
        <f>R52+P53-I53</f>
        <v>94209552.09</v>
      </c>
      <c r="U53" s="25">
        <f>T53-R53</f>
        <v>0</v>
      </c>
    </row>
    <row r="54" spans="1:21" ht="12">
      <c r="A54" s="125">
        <v>39498</v>
      </c>
      <c r="B54" s="123"/>
      <c r="C54" s="62">
        <f>79651.78-1746</f>
        <v>77905.78</v>
      </c>
      <c r="D54" s="62">
        <v>0</v>
      </c>
      <c r="E54" s="62">
        <v>0</v>
      </c>
      <c r="F54" s="62">
        <v>172123.59</v>
      </c>
      <c r="G54" s="62">
        <v>236654.24</v>
      </c>
      <c r="H54" s="62">
        <v>5705007.94</v>
      </c>
      <c r="I54" s="126">
        <f>SUM(B54:H54)</f>
        <v>6191691.550000001</v>
      </c>
      <c r="J54" s="62">
        <v>21342849.82</v>
      </c>
      <c r="K54" s="62">
        <v>2538288.21</v>
      </c>
      <c r="L54" s="62">
        <v>3083285.81</v>
      </c>
      <c r="M54" s="62">
        <v>0</v>
      </c>
      <c r="N54" s="62">
        <v>753346.63</v>
      </c>
      <c r="O54" s="62">
        <v>0</v>
      </c>
      <c r="P54" s="126">
        <f>SUM(K54:O54)</f>
        <v>6374920.65</v>
      </c>
      <c r="Q54" s="143">
        <v>0</v>
      </c>
      <c r="R54" s="139">
        <v>94392781.19</v>
      </c>
      <c r="T54" s="25">
        <f>R53+P54-I54</f>
        <v>94392781.19000001</v>
      </c>
      <c r="U54" s="25">
        <f>T54-R54</f>
        <v>0</v>
      </c>
    </row>
    <row r="55" spans="1:21" ht="12">
      <c r="A55" s="125">
        <v>39499</v>
      </c>
      <c r="B55" s="62">
        <v>63558.69</v>
      </c>
      <c r="C55" s="62">
        <v>0</v>
      </c>
      <c r="D55" s="62">
        <v>334300.11</v>
      </c>
      <c r="E55" s="62">
        <v>35946.87</v>
      </c>
      <c r="F55" s="62">
        <v>478379.11</v>
      </c>
      <c r="G55" s="62">
        <v>2394474.15</v>
      </c>
      <c r="H55" s="62">
        <v>7797367.49</v>
      </c>
      <c r="I55" s="126">
        <f>SUM(B55:H55)</f>
        <v>11104026.42</v>
      </c>
      <c r="J55" s="62">
        <f>13374569.12</f>
        <v>13374569.12</v>
      </c>
      <c r="K55" s="62">
        <v>1981382.99</v>
      </c>
      <c r="L55" s="62">
        <v>1339091.03</v>
      </c>
      <c r="M55" s="62">
        <v>0</v>
      </c>
      <c r="N55" s="62">
        <v>27211.76</v>
      </c>
      <c r="O55" s="62">
        <v>8111.62</v>
      </c>
      <c r="P55" s="126">
        <f>SUM(K55:O55)</f>
        <v>3355797.4000000004</v>
      </c>
      <c r="Q55" s="143">
        <v>0</v>
      </c>
      <c r="R55" s="139">
        <v>86644552.17</v>
      </c>
      <c r="T55" s="25">
        <f>R54+P55-I55</f>
        <v>86644552.17</v>
      </c>
      <c r="U55" s="25">
        <f>T55-R55</f>
        <v>0</v>
      </c>
    </row>
    <row r="56" spans="1:21" ht="12">
      <c r="A56" s="125">
        <v>39500</v>
      </c>
      <c r="B56" s="62">
        <v>264686.65</v>
      </c>
      <c r="C56" s="62">
        <v>0</v>
      </c>
      <c r="D56" s="62">
        <v>900</v>
      </c>
      <c r="E56" s="62">
        <v>207441.66</v>
      </c>
      <c r="F56" s="62">
        <v>160000</v>
      </c>
      <c r="G56" s="62">
        <v>291711.84</v>
      </c>
      <c r="H56" s="62">
        <v>5656.09</v>
      </c>
      <c r="I56" s="126">
        <f>SUM(B56:H56)</f>
        <v>930396.24</v>
      </c>
      <c r="J56" s="62">
        <v>19168738.81</v>
      </c>
      <c r="K56" s="62">
        <v>4459689.95</v>
      </c>
      <c r="L56" s="62">
        <v>302776.42</v>
      </c>
      <c r="M56" s="62">
        <v>0</v>
      </c>
      <c r="N56" s="62">
        <v>318897.62</v>
      </c>
      <c r="O56" s="62">
        <v>4266.74</v>
      </c>
      <c r="P56" s="126">
        <f>SUM(K56:O56)</f>
        <v>5085630.73</v>
      </c>
      <c r="Q56" s="143">
        <v>0</v>
      </c>
      <c r="R56" s="139">
        <v>90799786.66</v>
      </c>
      <c r="T56" s="25">
        <f>R55+P56-I56</f>
        <v>90799786.66000001</v>
      </c>
      <c r="U56" s="25">
        <f>T56-R56</f>
        <v>0</v>
      </c>
    </row>
    <row r="57" spans="1:21" ht="12">
      <c r="A57" s="125">
        <v>39503</v>
      </c>
      <c r="B57" s="62">
        <v>0</v>
      </c>
      <c r="C57" s="62">
        <v>0</v>
      </c>
      <c r="D57" s="62">
        <v>0</v>
      </c>
      <c r="E57" s="62">
        <f>5400+490.8</f>
        <v>5890.8</v>
      </c>
      <c r="F57" s="62">
        <v>0</v>
      </c>
      <c r="G57" s="62">
        <v>0</v>
      </c>
      <c r="H57" s="62">
        <v>0</v>
      </c>
      <c r="I57" s="126">
        <f>SUM(B57:H57)</f>
        <v>5890.8</v>
      </c>
      <c r="J57" s="62">
        <v>22990471.45</v>
      </c>
      <c r="K57" s="62">
        <v>3925753</v>
      </c>
      <c r="L57" s="62">
        <v>429588.04</v>
      </c>
      <c r="M57" s="62">
        <v>0</v>
      </c>
      <c r="N57" s="62">
        <v>169000.03</v>
      </c>
      <c r="O57" s="62">
        <f>17.67+434.1</f>
        <v>451.77000000000004</v>
      </c>
      <c r="P57" s="126">
        <f>SUM(K57:O57)</f>
        <v>4524792.84</v>
      </c>
      <c r="Q57" s="143">
        <v>1</v>
      </c>
      <c r="R57" s="139">
        <v>95318688.7</v>
      </c>
      <c r="T57" s="25">
        <f>R56+P57-I57</f>
        <v>95318688.7</v>
      </c>
      <c r="U57" s="25">
        <f>T57-R57</f>
        <v>0</v>
      </c>
    </row>
    <row r="58" spans="1:21" ht="12">
      <c r="A58" s="125">
        <v>39504</v>
      </c>
      <c r="B58" s="62">
        <v>439381.42</v>
      </c>
      <c r="C58" s="62">
        <v>0</v>
      </c>
      <c r="D58" s="62">
        <v>2713954.25</v>
      </c>
      <c r="E58" s="62">
        <v>77523.68</v>
      </c>
      <c r="F58" s="62">
        <f>77065.64+125000</f>
        <v>202065.64</v>
      </c>
      <c r="G58" s="62">
        <f>169627.92+2862257.99+2410081.98</f>
        <v>5441967.890000001</v>
      </c>
      <c r="H58" s="62">
        <v>0</v>
      </c>
      <c r="I58" s="126">
        <f>SUM(B58:H58)</f>
        <v>8874892.88</v>
      </c>
      <c r="J58" s="62">
        <v>18514593.61</v>
      </c>
      <c r="K58" s="62">
        <v>4586890.76</v>
      </c>
      <c r="L58" s="62">
        <v>240214.35</v>
      </c>
      <c r="M58" s="62">
        <v>0</v>
      </c>
      <c r="N58" s="62">
        <v>288231.43</v>
      </c>
      <c r="O58" s="62">
        <v>0</v>
      </c>
      <c r="P58" s="126">
        <f>SUM(K58:O58)</f>
        <v>5115336.54</v>
      </c>
      <c r="Q58" s="143">
        <v>0</v>
      </c>
      <c r="R58" s="139">
        <v>91559132.36</v>
      </c>
      <c r="T58" s="25">
        <f>R57+P58-I58</f>
        <v>91559132.36000001</v>
      </c>
      <c r="U58" s="25">
        <f>T58-R58</f>
        <v>0</v>
      </c>
    </row>
    <row r="59" spans="1:21" ht="12">
      <c r="A59" s="125">
        <v>39505</v>
      </c>
      <c r="B59" s="62">
        <v>21668.87</v>
      </c>
      <c r="C59" s="62">
        <v>0</v>
      </c>
      <c r="D59" s="62">
        <v>188204.88</v>
      </c>
      <c r="E59" s="62">
        <v>398069.68</v>
      </c>
      <c r="F59" s="62">
        <f>10000+122785.28+310603.27</f>
        <v>443388.55000000005</v>
      </c>
      <c r="G59" s="62">
        <f>603513.11+603513.12+53109.15</f>
        <v>1260135.38</v>
      </c>
      <c r="H59" s="62">
        <v>0</v>
      </c>
      <c r="I59" s="126">
        <f>SUM(B59:H59)</f>
        <v>2311467.3600000003</v>
      </c>
      <c r="J59" s="62">
        <v>18514593.61</v>
      </c>
      <c r="K59" s="62">
        <v>4027958.71</v>
      </c>
      <c r="L59" s="62">
        <v>667913.33</v>
      </c>
      <c r="M59" s="62">
        <v>0</v>
      </c>
      <c r="N59" s="62">
        <v>250522.87</v>
      </c>
      <c r="O59" s="62">
        <v>15270.11</v>
      </c>
      <c r="P59" s="126">
        <f>SUM(K59:O59)</f>
        <v>4961665.02</v>
      </c>
      <c r="Q59" s="143">
        <v>0</v>
      </c>
      <c r="R59" s="139">
        <v>94209330.02</v>
      </c>
      <c r="T59" s="25">
        <f>R58+P59-I59</f>
        <v>94209330.02</v>
      </c>
      <c r="U59" s="25">
        <f>T59-R59</f>
        <v>0</v>
      </c>
    </row>
    <row r="60" spans="1:21" ht="12">
      <c r="A60" s="125">
        <v>39506</v>
      </c>
      <c r="B60" s="62">
        <v>0</v>
      </c>
      <c r="C60" s="62">
        <v>0</v>
      </c>
      <c r="D60" s="62">
        <f>1955948-80</f>
        <v>1955868</v>
      </c>
      <c r="E60" s="62">
        <v>80</v>
      </c>
      <c r="F60" s="62">
        <v>0</v>
      </c>
      <c r="G60" s="62">
        <v>0</v>
      </c>
      <c r="H60" s="62">
        <v>0</v>
      </c>
      <c r="I60" s="126">
        <f>SUM(B60:H60)</f>
        <v>1955948</v>
      </c>
      <c r="J60" s="62">
        <v>0</v>
      </c>
      <c r="K60" s="62">
        <v>1141522.37</v>
      </c>
      <c r="L60" s="62">
        <v>467560.63</v>
      </c>
      <c r="M60" s="62">
        <v>2902790.27</v>
      </c>
      <c r="N60" s="62">
        <f>2960784.31-2902790.27</f>
        <v>57994.04000000004</v>
      </c>
      <c r="O60" s="62">
        <v>1500</v>
      </c>
      <c r="P60" s="126">
        <f>SUM(K60:O60)</f>
        <v>4571367.3100000005</v>
      </c>
      <c r="Q60" s="143">
        <v>0</v>
      </c>
      <c r="R60" s="139">
        <v>96824749.33</v>
      </c>
      <c r="T60" s="25">
        <f>R59+P60-I60</f>
        <v>96824749.33</v>
      </c>
      <c r="U60" s="25">
        <f>T60-R60</f>
        <v>0</v>
      </c>
    </row>
    <row r="61" spans="1:21" ht="12">
      <c r="A61" s="125">
        <v>39507</v>
      </c>
      <c r="B61" s="62">
        <v>24802.04</v>
      </c>
      <c r="C61" s="62">
        <v>0</v>
      </c>
      <c r="D61" s="62">
        <v>411395.61</v>
      </c>
      <c r="E61" s="62">
        <v>142913.5</v>
      </c>
      <c r="F61" s="62">
        <v>404919.6</v>
      </c>
      <c r="G61" s="62">
        <v>1963373.73</v>
      </c>
      <c r="H61" s="62">
        <v>0</v>
      </c>
      <c r="I61" s="126">
        <f>SUM(B61:H61)</f>
        <v>2947404.48</v>
      </c>
      <c r="J61" s="62">
        <v>23229202.28</v>
      </c>
      <c r="K61" s="62">
        <v>3153477.22</v>
      </c>
      <c r="L61" s="62">
        <f>969014.28+53733.43+49727.28</f>
        <v>1072474.99</v>
      </c>
      <c r="M61" s="62">
        <v>0</v>
      </c>
      <c r="N61" s="62">
        <v>1373009.6</v>
      </c>
      <c r="O61" s="62">
        <v>53809.74</v>
      </c>
      <c r="P61" s="126">
        <f>SUM(K61:O61)</f>
        <v>5652771.550000001</v>
      </c>
      <c r="Q61" s="143">
        <v>0</v>
      </c>
      <c r="R61" s="139">
        <v>99530116.4</v>
      </c>
      <c r="T61" s="25">
        <f>R60+P61-I61</f>
        <v>99530116.39999999</v>
      </c>
      <c r="U61" s="25">
        <f>T61-R61</f>
        <v>0</v>
      </c>
    </row>
    <row r="62" spans="1:21" ht="12">
      <c r="A62" s="127" t="s">
        <v>376</v>
      </c>
      <c r="B62" s="126">
        <f>SUM(B41:B61)</f>
        <v>63240228.85999999</v>
      </c>
      <c r="C62" s="126">
        <f>SUM(C41:C61)</f>
        <v>1949877.14</v>
      </c>
      <c r="D62" s="126">
        <f>SUM(D41:D61)</f>
        <v>6635540.73</v>
      </c>
      <c r="E62" s="126">
        <f>SUM(E41:E61)</f>
        <v>1654024.46</v>
      </c>
      <c r="F62" s="126">
        <f>SUM(F41:F61)</f>
        <v>5064380.54</v>
      </c>
      <c r="G62" s="126">
        <f>SUM(G41:G61)</f>
        <v>23462567.6</v>
      </c>
      <c r="H62" s="126">
        <f>SUM(H41:H61)</f>
        <v>21228351.02</v>
      </c>
      <c r="I62" s="126">
        <f>SUM(I41:I60)</f>
        <v>120287565.86999999</v>
      </c>
      <c r="K62" s="126">
        <f>SUM(K41:K61)</f>
        <v>52147662.89</v>
      </c>
      <c r="L62" s="126">
        <f>SUM(L41:L61)</f>
        <v>26716911.849999998</v>
      </c>
      <c r="M62" s="126">
        <f>SUM(M41:M61)</f>
        <v>17119146.71</v>
      </c>
      <c r="N62" s="126">
        <f>SUM(N41:N61)</f>
        <v>8076717.010000002</v>
      </c>
      <c r="O62" s="126">
        <f>SUM(O41:O61)</f>
        <v>7817840.01</v>
      </c>
      <c r="P62" s="126">
        <f>SUM(P41:P61)</f>
        <v>111878278.47000001</v>
      </c>
      <c r="Q62" s="126">
        <f>SUM(Q41:Q61)</f>
        <v>2879567.0899999994</v>
      </c>
      <c r="U62" s="25">
        <f>T62-R62</f>
        <v>0</v>
      </c>
    </row>
    <row r="63" spans="1:21" s="27" customFormat="1" ht="12">
      <c r="A63" s="128"/>
      <c r="B63" s="129"/>
      <c r="C63" s="129"/>
      <c r="D63" s="129"/>
      <c r="E63" s="129"/>
      <c r="F63" s="129"/>
      <c r="G63" s="129"/>
      <c r="H63" s="129"/>
      <c r="I63" s="129"/>
      <c r="K63" s="129"/>
      <c r="L63" s="129"/>
      <c r="M63" s="129"/>
      <c r="N63" s="129"/>
      <c r="O63" s="129"/>
      <c r="P63" s="129"/>
      <c r="Q63" s="129"/>
      <c r="U63" s="25">
        <f>T63-R63</f>
        <v>0</v>
      </c>
    </row>
    <row r="64" spans="2:21" ht="12">
      <c r="B64" s="135" t="s">
        <v>383</v>
      </c>
      <c r="C64" s="135"/>
      <c r="D64" s="135"/>
      <c r="E64" s="135"/>
      <c r="F64" s="135"/>
      <c r="G64" s="135"/>
      <c r="H64" s="135"/>
      <c r="I64" s="135"/>
      <c r="J64" s="134" t="s">
        <v>384</v>
      </c>
      <c r="K64" s="135" t="s">
        <v>385</v>
      </c>
      <c r="L64" s="135"/>
      <c r="M64" s="135"/>
      <c r="N64" s="135"/>
      <c r="O64" s="135"/>
      <c r="P64" s="135"/>
      <c r="Q64" s="136" t="s">
        <v>386</v>
      </c>
      <c r="R64" s="124" t="s">
        <v>387</v>
      </c>
      <c r="U64" s="25">
        <f>T64-R64</f>
        <v>0</v>
      </c>
    </row>
    <row r="65" spans="1:21" ht="12">
      <c r="A65" s="122" t="s">
        <v>367</v>
      </c>
      <c r="B65" s="122" t="s">
        <v>369</v>
      </c>
      <c r="C65" s="123" t="s">
        <v>370</v>
      </c>
      <c r="D65" s="122" t="s">
        <v>36</v>
      </c>
      <c r="E65" s="122" t="s">
        <v>371</v>
      </c>
      <c r="F65" s="122" t="s">
        <v>372</v>
      </c>
      <c r="G65" s="122" t="s">
        <v>373</v>
      </c>
      <c r="H65" s="122" t="s">
        <v>374</v>
      </c>
      <c r="I65" s="124" t="s">
        <v>375</v>
      </c>
      <c r="J65" s="134"/>
      <c r="K65" s="122" t="s">
        <v>388</v>
      </c>
      <c r="L65" s="122" t="s">
        <v>389</v>
      </c>
      <c r="M65" s="122" t="s">
        <v>20</v>
      </c>
      <c r="N65" s="122" t="s">
        <v>390</v>
      </c>
      <c r="O65" s="122" t="s">
        <v>37</v>
      </c>
      <c r="P65" s="124" t="s">
        <v>391</v>
      </c>
      <c r="Q65" s="136"/>
      <c r="R65" s="136"/>
      <c r="T65">
        <v>99530116.4</v>
      </c>
      <c r="U65" s="25">
        <f>T65-R65</f>
        <v>99530116.4</v>
      </c>
    </row>
    <row r="66" spans="1:21" ht="12">
      <c r="A66" s="125">
        <v>39510</v>
      </c>
      <c r="B66" s="62">
        <v>66197.34</v>
      </c>
      <c r="C66" s="62">
        <v>0</v>
      </c>
      <c r="D66" s="62">
        <v>2740.5</v>
      </c>
      <c r="E66" s="62">
        <v>77225.79</v>
      </c>
      <c r="F66" s="62">
        <v>186392.64</v>
      </c>
      <c r="G66" s="62">
        <v>1155267.79</v>
      </c>
      <c r="H66" s="62">
        <v>0</v>
      </c>
      <c r="I66" s="126">
        <f>SUM(B66:H66)</f>
        <v>1487824.06</v>
      </c>
      <c r="J66" s="62">
        <v>22706548.51</v>
      </c>
      <c r="K66" s="62">
        <v>565071.23</v>
      </c>
      <c r="L66" s="62">
        <v>450550.83</v>
      </c>
      <c r="M66" s="62">
        <v>0</v>
      </c>
      <c r="N66" s="62">
        <v>500219.15</v>
      </c>
      <c r="O66" s="62">
        <v>0</v>
      </c>
      <c r="P66" s="126">
        <f>SUM(K66:O66)</f>
        <v>1515841.21</v>
      </c>
      <c r="Q66" s="143">
        <v>0</v>
      </c>
      <c r="R66" s="139">
        <v>99558133.55</v>
      </c>
      <c r="T66" s="25">
        <f>T65+P66-Q66-I66</f>
        <v>99558133.55</v>
      </c>
      <c r="U66" s="25">
        <f>T66-R66</f>
        <v>0</v>
      </c>
    </row>
    <row r="67" spans="1:21" ht="12">
      <c r="A67" s="125">
        <v>39511</v>
      </c>
      <c r="B67" s="62">
        <v>6789.42</v>
      </c>
      <c r="C67" s="62">
        <v>0</v>
      </c>
      <c r="D67" s="62">
        <v>0</v>
      </c>
      <c r="E67" s="62">
        <v>110302.39</v>
      </c>
      <c r="F67" s="62">
        <f>61392.64+30000</f>
        <v>91392.64</v>
      </c>
      <c r="G67" s="62">
        <f>32853.77*2+2891.13+68598.69</f>
        <v>137197.36</v>
      </c>
      <c r="H67" s="62">
        <v>0</v>
      </c>
      <c r="I67" s="126">
        <f>SUM(B67:H67)</f>
        <v>345681.81</v>
      </c>
      <c r="J67" s="62">
        <v>25971547.05</v>
      </c>
      <c r="K67" s="62">
        <v>0</v>
      </c>
      <c r="L67" s="62">
        <v>517627.24</v>
      </c>
      <c r="M67" s="62">
        <v>0</v>
      </c>
      <c r="N67" s="62">
        <v>272837.48</v>
      </c>
      <c r="O67" s="62">
        <v>3087605.52</v>
      </c>
      <c r="P67" s="126">
        <f>SUM(K67:O67)</f>
        <v>3878070.24</v>
      </c>
      <c r="Q67" s="143">
        <v>0</v>
      </c>
      <c r="R67" s="139">
        <v>103090521.98</v>
      </c>
      <c r="T67" s="25">
        <f>T66+P67-Q67-I67</f>
        <v>103090521.97999999</v>
      </c>
      <c r="U67" s="25">
        <f>T67-R67</f>
        <v>0</v>
      </c>
    </row>
    <row r="68" spans="1:21" ht="12">
      <c r="A68" s="125">
        <v>39512</v>
      </c>
      <c r="B68" s="62">
        <v>2383.13</v>
      </c>
      <c r="C68" s="62">
        <v>0</v>
      </c>
      <c r="D68" s="62">
        <v>0</v>
      </c>
      <c r="E68" s="62">
        <v>185242.82</v>
      </c>
      <c r="F68" s="62">
        <v>8482.37</v>
      </c>
      <c r="G68" s="62">
        <v>923903.25</v>
      </c>
      <c r="H68" s="62">
        <v>0</v>
      </c>
      <c r="I68" s="126">
        <f>SUM(B68:H68)</f>
        <v>1120011.5699999998</v>
      </c>
      <c r="J68" s="62">
        <v>26843638.58</v>
      </c>
      <c r="K68" s="62">
        <v>1508732.4</v>
      </c>
      <c r="L68" s="62">
        <v>251014.71</v>
      </c>
      <c r="M68" s="62">
        <v>0</v>
      </c>
      <c r="N68" s="62">
        <v>266999.04</v>
      </c>
      <c r="O68" s="62">
        <v>50905.81</v>
      </c>
      <c r="P68" s="126">
        <f>SUM(K68:O68)</f>
        <v>2077651.96</v>
      </c>
      <c r="Q68" s="143">
        <v>1700</v>
      </c>
      <c r="R68" s="139">
        <v>104046462.37</v>
      </c>
      <c r="T68" s="25">
        <f>T67+P68-Q68-I68</f>
        <v>104046462.36999999</v>
      </c>
      <c r="U68" s="25">
        <f>T68-R68</f>
        <v>0</v>
      </c>
    </row>
    <row r="69" spans="1:21" ht="12">
      <c r="A69" s="125">
        <v>39513</v>
      </c>
      <c r="B69" s="62">
        <v>42720919.93</v>
      </c>
      <c r="C69" s="62">
        <v>0</v>
      </c>
      <c r="D69" s="62">
        <v>500</v>
      </c>
      <c r="E69" s="62">
        <v>329933.71</v>
      </c>
      <c r="F69" s="62">
        <v>548018.7</v>
      </c>
      <c r="G69" s="62">
        <v>177590.15</v>
      </c>
      <c r="H69" s="62">
        <v>0</v>
      </c>
      <c r="I69" s="126">
        <f>SUM(B69:H69)</f>
        <v>43776962.49</v>
      </c>
      <c r="J69" s="62">
        <v>-7993778.95</v>
      </c>
      <c r="K69" s="62">
        <v>2742016.3</v>
      </c>
      <c r="L69" s="62">
        <v>257708.06</v>
      </c>
      <c r="M69" s="62">
        <v>0</v>
      </c>
      <c r="N69" s="62">
        <v>141618.63</v>
      </c>
      <c r="O69" s="62">
        <v>2572514.28</v>
      </c>
      <c r="P69" s="126">
        <f>SUM(K69:O69)</f>
        <v>5713857.27</v>
      </c>
      <c r="Q69" s="62">
        <v>2826382.24</v>
      </c>
      <c r="R69" s="139">
        <v>63156974.91</v>
      </c>
      <c r="T69" s="25">
        <f>T68+P69-Q69-I69</f>
        <v>63156974.90999999</v>
      </c>
      <c r="U69" s="25">
        <f>T69-R69</f>
        <v>0</v>
      </c>
    </row>
    <row r="70" spans="1:21" ht="12">
      <c r="A70" s="125">
        <v>39514</v>
      </c>
      <c r="B70" s="62">
        <v>3734.72</v>
      </c>
      <c r="C70" s="62">
        <v>0</v>
      </c>
      <c r="D70" s="62">
        <v>452361.58</v>
      </c>
      <c r="E70" s="62">
        <v>91563.8</v>
      </c>
      <c r="F70" s="62">
        <f>1007198.05-9299</f>
        <v>997899.05</v>
      </c>
      <c r="G70" s="62">
        <v>261913.04</v>
      </c>
      <c r="H70" s="62">
        <v>0</v>
      </c>
      <c r="I70" s="126">
        <f>SUM(B70:H70)</f>
        <v>1807472.1900000002</v>
      </c>
      <c r="J70" s="62">
        <v>-5390325.69</v>
      </c>
      <c r="K70" s="62">
        <v>675385.96</v>
      </c>
      <c r="L70" s="62">
        <v>245503.21</v>
      </c>
      <c r="M70" s="62">
        <v>0</v>
      </c>
      <c r="N70" s="62">
        <v>70434.23</v>
      </c>
      <c r="O70" s="62">
        <v>3482635.13</v>
      </c>
      <c r="P70" s="126">
        <f>SUM(K70:O70)</f>
        <v>4473958.529999999</v>
      </c>
      <c r="Q70" s="62">
        <v>0</v>
      </c>
      <c r="R70" s="139">
        <v>65823461.25</v>
      </c>
      <c r="T70" s="25">
        <f>T69+P70-Q70-I70</f>
        <v>65823461.249999985</v>
      </c>
      <c r="U70" s="25">
        <f>T70-R70</f>
        <v>0</v>
      </c>
    </row>
    <row r="71" spans="1:21" ht="12">
      <c r="A71" s="125">
        <v>39517</v>
      </c>
      <c r="B71" s="62">
        <v>357267.64</v>
      </c>
      <c r="C71" s="62">
        <v>0</v>
      </c>
      <c r="D71" s="62">
        <v>111041</v>
      </c>
      <c r="E71" s="62">
        <v>238771.8</v>
      </c>
      <c r="F71" s="62">
        <v>245000</v>
      </c>
      <c r="G71" s="62">
        <v>561853.83</v>
      </c>
      <c r="H71" s="62">
        <v>0</v>
      </c>
      <c r="I71" s="126">
        <f>SUM(B71:H71)</f>
        <v>1513934.27</v>
      </c>
      <c r="J71" s="62">
        <v>-4203629.12</v>
      </c>
      <c r="K71" s="62">
        <v>814798.36</v>
      </c>
      <c r="L71" s="62">
        <v>712538.45</v>
      </c>
      <c r="M71" s="62">
        <v>0</v>
      </c>
      <c r="N71" s="62">
        <v>987145</v>
      </c>
      <c r="O71" s="62">
        <v>288498.68</v>
      </c>
      <c r="P71" s="126">
        <f>SUM(K71:O71)</f>
        <v>2802980.4899999998</v>
      </c>
      <c r="Q71" s="62">
        <v>0</v>
      </c>
      <c r="R71" s="139">
        <v>67112507.47</v>
      </c>
      <c r="T71" s="25">
        <f>T70+P71-Q71-I71</f>
        <v>67112507.46999998</v>
      </c>
      <c r="U71" s="25">
        <f>T71-R71</f>
        <v>0</v>
      </c>
    </row>
    <row r="72" spans="1:21" ht="12">
      <c r="A72" s="125">
        <v>39518</v>
      </c>
      <c r="B72" s="62">
        <v>607305.43</v>
      </c>
      <c r="C72" s="62">
        <v>0</v>
      </c>
      <c r="D72" s="62">
        <v>940.5</v>
      </c>
      <c r="E72" s="62">
        <v>32913.85</v>
      </c>
      <c r="F72" s="62">
        <v>142587.98</v>
      </c>
      <c r="G72" s="62">
        <v>114685.05</v>
      </c>
      <c r="H72" s="62">
        <v>0</v>
      </c>
      <c r="I72" s="126">
        <f>SUM(B72:H72)</f>
        <v>898432.81</v>
      </c>
      <c r="J72" s="62">
        <v>-4818773.23</v>
      </c>
      <c r="K72" s="62">
        <v>894299.37</v>
      </c>
      <c r="L72" s="62">
        <v>2315425.88</v>
      </c>
      <c r="M72" s="62">
        <v>0</v>
      </c>
      <c r="N72" s="62">
        <v>5391631.51</v>
      </c>
      <c r="O72" s="62">
        <v>4783031.35</v>
      </c>
      <c r="P72" s="126">
        <f>SUM(K72:O72)</f>
        <v>13384388.109999998</v>
      </c>
      <c r="Q72" s="62">
        <v>0</v>
      </c>
      <c r="R72" s="139">
        <v>79598462.77</v>
      </c>
      <c r="T72" s="25">
        <f>T71+P72-Q72-I72</f>
        <v>79598462.76999998</v>
      </c>
      <c r="U72" s="25">
        <f>T72-R72</f>
        <v>0</v>
      </c>
    </row>
    <row r="73" spans="1:21" ht="12">
      <c r="A73" s="125">
        <v>39519</v>
      </c>
      <c r="B73" s="62">
        <v>9300</v>
      </c>
      <c r="C73" s="62">
        <v>0</v>
      </c>
      <c r="D73" s="62">
        <v>500</v>
      </c>
      <c r="E73" s="62">
        <f>198519.22+10000</f>
        <v>208519.22</v>
      </c>
      <c r="F73" s="62">
        <v>207939.14</v>
      </c>
      <c r="G73" s="62">
        <v>364030.09</v>
      </c>
      <c r="H73" s="62">
        <v>0</v>
      </c>
      <c r="I73" s="126">
        <f>SUM(B73:H73)</f>
        <v>790288.45</v>
      </c>
      <c r="J73" s="62">
        <v>5014295.91</v>
      </c>
      <c r="K73" s="62">
        <v>2308986.73</v>
      </c>
      <c r="L73" s="62">
        <v>626078.67</v>
      </c>
      <c r="M73" s="62">
        <v>0</v>
      </c>
      <c r="N73" s="62">
        <v>338980.69</v>
      </c>
      <c r="O73" s="62">
        <v>11286</v>
      </c>
      <c r="P73" s="126">
        <f>SUM(K73:O73)</f>
        <v>3285332.09</v>
      </c>
      <c r="Q73" s="62">
        <v>0</v>
      </c>
      <c r="R73" s="139">
        <v>82093506.41</v>
      </c>
      <c r="T73" s="25">
        <f>T72+P73-Q73-I73</f>
        <v>82093506.40999998</v>
      </c>
      <c r="U73" s="25">
        <f>T73-R73</f>
        <v>0</v>
      </c>
    </row>
    <row r="74" spans="1:21" ht="12">
      <c r="A74" s="125">
        <v>39520</v>
      </c>
      <c r="B74" s="62">
        <v>14274604.47</v>
      </c>
      <c r="C74" s="62">
        <v>0</v>
      </c>
      <c r="D74" s="62">
        <v>900</v>
      </c>
      <c r="E74" s="62">
        <v>169145.75</v>
      </c>
      <c r="F74" s="62">
        <v>725612.87</v>
      </c>
      <c r="G74" s="62">
        <f>160637.85*2+14136.13+335411.83</f>
        <v>670823.66</v>
      </c>
      <c r="H74" s="62">
        <v>0</v>
      </c>
      <c r="I74" s="126">
        <f>SUM(B74:H74)</f>
        <v>15841086.75</v>
      </c>
      <c r="J74" s="62">
        <v>-7091485.85</v>
      </c>
      <c r="K74" s="62">
        <v>1940467.5</v>
      </c>
      <c r="L74" s="62">
        <v>1043344.88</v>
      </c>
      <c r="M74" s="62">
        <v>0</v>
      </c>
      <c r="N74" s="62">
        <v>248781.08</v>
      </c>
      <c r="O74" s="62">
        <v>99336.54</v>
      </c>
      <c r="P74" s="126">
        <f>SUM(K74:O74)</f>
        <v>3331930</v>
      </c>
      <c r="Q74" s="62">
        <v>0</v>
      </c>
      <c r="R74" s="139">
        <v>69584349.66</v>
      </c>
      <c r="T74" s="25">
        <f>T73+P74-Q74-I74</f>
        <v>69584349.65999998</v>
      </c>
      <c r="U74" s="25">
        <f>T74-R74</f>
        <v>0</v>
      </c>
    </row>
    <row r="75" spans="1:21" ht="12">
      <c r="A75" s="125">
        <v>39521</v>
      </c>
      <c r="B75" s="62">
        <v>264387.56</v>
      </c>
      <c r="C75" s="62">
        <v>0</v>
      </c>
      <c r="D75" s="62">
        <v>215194.11</v>
      </c>
      <c r="E75" s="62">
        <v>596092.43</v>
      </c>
      <c r="F75" s="62">
        <v>123500</v>
      </c>
      <c r="G75" s="62">
        <v>0</v>
      </c>
      <c r="H75" s="62">
        <v>1531458.98</v>
      </c>
      <c r="I75" s="126">
        <f>SUM(B75:H75)</f>
        <v>2730633.08</v>
      </c>
      <c r="J75" s="62">
        <v>-2415918.19</v>
      </c>
      <c r="K75" s="62">
        <v>5488066.11</v>
      </c>
      <c r="L75" s="62">
        <v>1930253.55</v>
      </c>
      <c r="M75" s="62">
        <v>0</v>
      </c>
      <c r="N75" s="62">
        <v>248721.84</v>
      </c>
      <c r="O75" s="62">
        <v>0</v>
      </c>
      <c r="P75" s="126">
        <f>SUM(K75:O75)</f>
        <v>7667041.5</v>
      </c>
      <c r="Q75" s="62">
        <f>1881+1700</f>
        <v>3581</v>
      </c>
      <c r="R75" s="139">
        <v>74517177.08</v>
      </c>
      <c r="T75" s="25">
        <f>T74+P75-Q75-I75</f>
        <v>74517177.07999998</v>
      </c>
      <c r="U75" s="25">
        <f>T75-R75</f>
        <v>0</v>
      </c>
    </row>
    <row r="76" spans="1:21" ht="12">
      <c r="A76" s="125">
        <v>39524</v>
      </c>
      <c r="B76" s="62">
        <v>2296491.75</v>
      </c>
      <c r="C76" s="62">
        <v>0</v>
      </c>
      <c r="D76" s="62">
        <v>2665384.28</v>
      </c>
      <c r="E76" s="62">
        <v>426373.27</v>
      </c>
      <c r="F76" s="62">
        <v>0</v>
      </c>
      <c r="G76" s="62">
        <v>0</v>
      </c>
      <c r="H76" s="62">
        <v>500000</v>
      </c>
      <c r="I76" s="126">
        <f>SUM(B76:H76)</f>
        <v>5888249.3</v>
      </c>
      <c r="J76" s="62">
        <v>-2408144.34</v>
      </c>
      <c r="K76" s="62">
        <v>1459559.53</v>
      </c>
      <c r="L76" s="62">
        <v>4394096.39</v>
      </c>
      <c r="M76" s="62">
        <v>0</v>
      </c>
      <c r="N76" s="62">
        <v>390619.18</v>
      </c>
      <c r="O76" s="62">
        <v>6441.23</v>
      </c>
      <c r="P76" s="126">
        <f>SUM(K76:O76)</f>
        <v>6250716.33</v>
      </c>
      <c r="Q76" s="62">
        <v>79959.26</v>
      </c>
      <c r="R76" s="139">
        <v>74795499.85</v>
      </c>
      <c r="T76" s="25">
        <f>T75+P76-Q76-I76</f>
        <v>74799684.84999998</v>
      </c>
      <c r="U76" s="25">
        <f>T76-R76</f>
        <v>4184.999999985099</v>
      </c>
    </row>
    <row r="77" spans="1:21" ht="12">
      <c r="A77" s="125">
        <v>39525</v>
      </c>
      <c r="B77" s="62">
        <v>3386.72</v>
      </c>
      <c r="C77" s="62">
        <v>0</v>
      </c>
      <c r="D77" s="62">
        <v>9405.6</v>
      </c>
      <c r="E77" s="62">
        <v>50961.61</v>
      </c>
      <c r="F77" s="62">
        <v>115000</v>
      </c>
      <c r="G77" s="62">
        <v>1787356.81</v>
      </c>
      <c r="H77" s="62">
        <v>0</v>
      </c>
      <c r="I77" s="126">
        <f>SUM(B77:H77)</f>
        <v>1966110.74</v>
      </c>
      <c r="J77" s="62">
        <v>4844562.63</v>
      </c>
      <c r="K77" s="62">
        <v>1564413.9</v>
      </c>
      <c r="L77" s="62">
        <v>5487652.82</v>
      </c>
      <c r="M77" s="62">
        <v>2329144.65</v>
      </c>
      <c r="N77" s="62">
        <v>243404.9</v>
      </c>
      <c r="O77" s="62">
        <v>65814.49</v>
      </c>
      <c r="P77" s="126">
        <f>SUM(K77:O77)</f>
        <v>9690430.760000002</v>
      </c>
      <c r="Q77" s="62">
        <v>90</v>
      </c>
      <c r="R77" s="139">
        <v>82523914.87</v>
      </c>
      <c r="T77" s="25">
        <f>T76+P77-Q77-I77</f>
        <v>82523914.86999999</v>
      </c>
      <c r="U77" s="25">
        <f>T77-R77</f>
        <v>0</v>
      </c>
    </row>
    <row r="78" spans="1:21" ht="12">
      <c r="A78" s="125">
        <v>39526</v>
      </c>
      <c r="B78" s="62">
        <v>249935.53</v>
      </c>
      <c r="C78" s="62">
        <v>0</v>
      </c>
      <c r="D78" s="62">
        <v>0</v>
      </c>
      <c r="E78" s="62">
        <v>49287.99</v>
      </c>
      <c r="F78" s="62">
        <f>356963.2+14237.08</f>
        <v>371200.28</v>
      </c>
      <c r="G78" s="62">
        <f>1137844.18+549662.56+670183.8+56236.24</f>
        <v>2413926.7800000003</v>
      </c>
      <c r="H78" s="62">
        <v>7568677.58</v>
      </c>
      <c r="I78" s="126">
        <f>SUM(B78:H78)</f>
        <v>10653028.16</v>
      </c>
      <c r="J78" s="62">
        <v>-2937334.07</v>
      </c>
      <c r="K78" s="62">
        <v>2860423.92</v>
      </c>
      <c r="L78" s="62">
        <v>3294381</v>
      </c>
      <c r="M78" s="62">
        <v>7887864.87</v>
      </c>
      <c r="N78" s="62">
        <v>268773.61</v>
      </c>
      <c r="O78" s="62">
        <v>1700.11</v>
      </c>
      <c r="P78" s="126">
        <f>SUM(K78:O78)</f>
        <v>14313143.51</v>
      </c>
      <c r="Q78" s="62">
        <v>0</v>
      </c>
      <c r="R78" s="139">
        <v>86184030.22</v>
      </c>
      <c r="T78" s="25">
        <f>T77+P78-Q78-I78</f>
        <v>86184030.22</v>
      </c>
      <c r="U78" s="25">
        <f>T78-R78</f>
        <v>0</v>
      </c>
    </row>
    <row r="79" spans="1:21" ht="12">
      <c r="A79" s="125">
        <v>39532</v>
      </c>
      <c r="B79" s="62">
        <v>6773.34</v>
      </c>
      <c r="C79" s="62">
        <v>248182.69</v>
      </c>
      <c r="D79" s="62">
        <v>0</v>
      </c>
      <c r="E79" s="62">
        <v>0</v>
      </c>
      <c r="F79" s="62">
        <v>415757.9</v>
      </c>
      <c r="G79" s="62">
        <v>1020531.13</v>
      </c>
      <c r="H79" s="62">
        <v>0</v>
      </c>
      <c r="I79" s="126">
        <f>SUM(B79:H79)</f>
        <v>1691245.0600000003</v>
      </c>
      <c r="J79" s="62">
        <v>2637851.38</v>
      </c>
      <c r="K79" s="62">
        <v>1384151.54</v>
      </c>
      <c r="L79" s="62">
        <v>4141873.3</v>
      </c>
      <c r="M79" s="62">
        <v>0</v>
      </c>
      <c r="N79" s="62">
        <v>351320.04</v>
      </c>
      <c r="O79" s="62">
        <v>4394.23</v>
      </c>
      <c r="P79" s="126">
        <f>SUM(K79:O79)</f>
        <v>5881739.11</v>
      </c>
      <c r="Q79" s="62">
        <v>732.65</v>
      </c>
      <c r="R79" s="139">
        <v>90373791.62</v>
      </c>
      <c r="T79" s="25">
        <f>T78+P79-Q79-I79</f>
        <v>90373791.61999999</v>
      </c>
      <c r="U79" s="25">
        <f>T79-R79</f>
        <v>0</v>
      </c>
    </row>
    <row r="80" spans="1:21" ht="12">
      <c r="A80" s="125">
        <v>39533</v>
      </c>
      <c r="B80" s="62">
        <v>2100</v>
      </c>
      <c r="C80" s="62">
        <v>0</v>
      </c>
      <c r="D80" s="62">
        <v>169559.7</v>
      </c>
      <c r="E80" s="62">
        <v>159803.58</v>
      </c>
      <c r="F80" s="62">
        <v>120970.93</v>
      </c>
      <c r="G80" s="62">
        <v>0</v>
      </c>
      <c r="H80" s="62">
        <v>0</v>
      </c>
      <c r="I80" s="126">
        <f>SUM(B80:H80)</f>
        <v>452434.21</v>
      </c>
      <c r="J80" s="62">
        <v>7793709.66</v>
      </c>
      <c r="K80" s="62">
        <v>4705033.7</v>
      </c>
      <c r="L80" s="62">
        <v>752434.93</v>
      </c>
      <c r="M80" s="62">
        <v>0</v>
      </c>
      <c r="N80" s="62">
        <v>2113054.19</v>
      </c>
      <c r="O80" s="62">
        <v>48298.13</v>
      </c>
      <c r="P80" s="126">
        <f>SUM(K80:O80)</f>
        <v>7618820.95</v>
      </c>
      <c r="Q80" s="62">
        <v>0</v>
      </c>
      <c r="R80" s="139">
        <v>97540178.36</v>
      </c>
      <c r="T80" s="25">
        <f>T79+P80-Q80-I80</f>
        <v>97540178.36</v>
      </c>
      <c r="U80" s="25">
        <f>T80-R80</f>
        <v>0</v>
      </c>
    </row>
    <row r="81" spans="1:21" ht="12">
      <c r="A81" s="125">
        <v>39534</v>
      </c>
      <c r="B81" s="62">
        <v>493288.32</v>
      </c>
      <c r="C81" s="62">
        <v>0</v>
      </c>
      <c r="D81" s="62">
        <v>187859.89</v>
      </c>
      <c r="E81" s="62">
        <v>224844.58</v>
      </c>
      <c r="F81" s="62">
        <v>35991.96</v>
      </c>
      <c r="G81" s="62">
        <v>8530124.43</v>
      </c>
      <c r="H81" s="62">
        <v>0</v>
      </c>
      <c r="I81" s="126">
        <f>SUM(B81:H81)</f>
        <v>9472109.18</v>
      </c>
      <c r="J81" s="62"/>
      <c r="K81" s="62">
        <v>5880773.39</v>
      </c>
      <c r="L81" s="62">
        <v>1325265.79</v>
      </c>
      <c r="M81" s="62">
        <v>0</v>
      </c>
      <c r="N81" s="62">
        <v>373427.7</v>
      </c>
      <c r="O81" s="62">
        <v>46325.66</v>
      </c>
      <c r="P81" s="126">
        <f>SUM(K81:O81)</f>
        <v>7625792.539999999</v>
      </c>
      <c r="Q81" s="62">
        <f>15.72+134.73+2797.04</f>
        <v>2947.49</v>
      </c>
      <c r="R81" s="139">
        <v>95690914.23</v>
      </c>
      <c r="T81" s="25">
        <f>T80+P81-Q81-I81</f>
        <v>95690914.23000002</v>
      </c>
      <c r="U81" s="25">
        <f>T81-R81</f>
        <v>0</v>
      </c>
    </row>
    <row r="82" spans="1:21" ht="12">
      <c r="A82" s="125">
        <v>39535</v>
      </c>
      <c r="B82" s="62">
        <v>54063.18</v>
      </c>
      <c r="C82" s="62">
        <v>3782822.25</v>
      </c>
      <c r="D82" s="62">
        <v>1396549</v>
      </c>
      <c r="E82" s="62">
        <v>430715.41</v>
      </c>
      <c r="F82" s="62">
        <v>1369915.71</v>
      </c>
      <c r="G82" s="62">
        <v>2718219.4</v>
      </c>
      <c r="H82" s="62">
        <v>0</v>
      </c>
      <c r="I82" s="126">
        <f>SUM(B82:H82)</f>
        <v>9752284.95</v>
      </c>
      <c r="J82" s="62">
        <v>3397945.4</v>
      </c>
      <c r="K82" s="62">
        <v>4511041.29</v>
      </c>
      <c r="L82" s="62">
        <v>334763.4</v>
      </c>
      <c r="M82" s="62">
        <v>0</v>
      </c>
      <c r="N82" s="62">
        <v>94509.68</v>
      </c>
      <c r="O82" s="62">
        <v>33755.17</v>
      </c>
      <c r="P82" s="126">
        <f>SUM(K82:O82)</f>
        <v>4974069.54</v>
      </c>
      <c r="Q82" s="62">
        <v>0</v>
      </c>
      <c r="R82" s="139">
        <v>90912698.82</v>
      </c>
      <c r="T82" s="25">
        <f>T81+P82-Q82-I82</f>
        <v>90912698.82000002</v>
      </c>
      <c r="U82" s="25"/>
    </row>
    <row r="83" spans="1:21" ht="12">
      <c r="A83" s="125">
        <v>39538</v>
      </c>
      <c r="B83" s="62">
        <v>1391</v>
      </c>
      <c r="C83" s="62">
        <v>1377850.31</v>
      </c>
      <c r="D83" s="62">
        <v>532085.6</v>
      </c>
      <c r="E83" s="62">
        <v>178151.91</v>
      </c>
      <c r="F83" s="62">
        <v>196392.64</v>
      </c>
      <c r="G83" s="62">
        <f>624611.1+663364.85+51327.39</f>
        <v>1339303.3399999999</v>
      </c>
      <c r="H83" s="62">
        <v>0</v>
      </c>
      <c r="I83" s="126">
        <f>SUM(B83:H83)</f>
        <v>3625174.8</v>
      </c>
      <c r="J83" s="62">
        <v>7023825.52</v>
      </c>
      <c r="K83" s="62">
        <v>7414315.19</v>
      </c>
      <c r="L83" s="62">
        <v>659471.87</v>
      </c>
      <c r="M83" s="62">
        <v>0</v>
      </c>
      <c r="N83" s="62">
        <v>116400.24</v>
      </c>
      <c r="O83" s="62">
        <v>88854.39</v>
      </c>
      <c r="P83" s="126">
        <f>SUM(K83:O83)</f>
        <v>8279041.69</v>
      </c>
      <c r="Q83" s="62">
        <v>0</v>
      </c>
      <c r="R83" s="139">
        <v>95566565.71</v>
      </c>
      <c r="T83" s="25">
        <f>T82+P83-Q83-I83</f>
        <v>95566565.71000002</v>
      </c>
      <c r="U83" s="25"/>
    </row>
    <row r="84" spans="1:21" ht="12">
      <c r="A84" s="125"/>
      <c r="B84" s="62"/>
      <c r="C84" s="62"/>
      <c r="D84" s="62"/>
      <c r="E84" s="62"/>
      <c r="F84" s="62"/>
      <c r="G84" s="62"/>
      <c r="H84" s="62"/>
      <c r="I84" s="126">
        <f>SUM(B84:H84)</f>
        <v>0</v>
      </c>
      <c r="J84" s="62"/>
      <c r="K84" s="62"/>
      <c r="L84" s="62"/>
      <c r="M84" s="62"/>
      <c r="N84" s="62"/>
      <c r="O84" s="62"/>
      <c r="P84" s="126">
        <f>SUM(K84:O84)</f>
        <v>0</v>
      </c>
      <c r="Q84" s="62"/>
      <c r="R84" s="139"/>
      <c r="T84" s="25"/>
      <c r="U84" s="25"/>
    </row>
    <row r="85" spans="1:17" ht="12">
      <c r="A85" s="127" t="s">
        <v>376</v>
      </c>
      <c r="B85" s="126">
        <f>SUM(B66:B84)</f>
        <v>61420319.480000004</v>
      </c>
      <c r="C85" s="126">
        <f>SUM(C66:C84)</f>
        <v>5408855.250000001</v>
      </c>
      <c r="D85" s="126">
        <f>SUM(D66:D84)</f>
        <v>5745021.76</v>
      </c>
      <c r="E85" s="126">
        <f>SUM(E66:E84)</f>
        <v>3559849.9100000006</v>
      </c>
      <c r="F85" s="126">
        <f>SUM(F66:F84)</f>
        <v>5902054.81</v>
      </c>
      <c r="G85" s="126">
        <f>SUM(G66:G84)</f>
        <v>22176726.109999996</v>
      </c>
      <c r="H85" s="126">
        <f>SUM(H66:H84)</f>
        <v>9600136.56</v>
      </c>
      <c r="I85" s="126">
        <f>SUM(I66:I84)</f>
        <v>113812963.88</v>
      </c>
      <c r="J85" s="62"/>
      <c r="K85" s="126">
        <f>SUM(K66:K84)</f>
        <v>46717536.41999999</v>
      </c>
      <c r="L85" s="126">
        <f>SUM(L66:L84)</f>
        <v>28739984.979999997</v>
      </c>
      <c r="M85" s="126">
        <f>SUM(M66:M84)</f>
        <v>10217009.52</v>
      </c>
      <c r="N85" s="126">
        <f>SUM(N66:N84)</f>
        <v>12418878.189999998</v>
      </c>
      <c r="O85" s="126">
        <f>SUM(O66:O84)</f>
        <v>14671396.72</v>
      </c>
      <c r="P85" s="126">
        <f>SUM(P66:P84)</f>
        <v>112764805.83000001</v>
      </c>
      <c r="Q85" s="126">
        <f>SUM(Q66:Q84)</f>
        <v>2915392.64</v>
      </c>
    </row>
    <row r="86" ht="12">
      <c r="J86" s="27"/>
    </row>
    <row r="87" spans="1:17" ht="12.75">
      <c r="A87" s="130" t="s">
        <v>15</v>
      </c>
      <c r="B87" s="131">
        <f>B62+B37+B12+B62+B85</f>
        <v>273768250.89</v>
      </c>
      <c r="C87" s="131">
        <f>C62+C37+C12+C62+C85</f>
        <v>18595955.67</v>
      </c>
      <c r="D87" s="131">
        <f>D62+D37+D12+D62+D85</f>
        <v>26154520.21</v>
      </c>
      <c r="E87" s="131">
        <f>E62+E37+E12+E62+E85</f>
        <v>8030629.6899999995</v>
      </c>
      <c r="F87" s="131">
        <f>F62+F37+F12+F62+F85</f>
        <v>20902086.41</v>
      </c>
      <c r="G87" s="131">
        <f>G62+G37+G12+G62+G85</f>
        <v>103831400.4092</v>
      </c>
      <c r="H87" s="131">
        <f>H62+H37+H12+H62+H85</f>
        <v>77508417.49</v>
      </c>
      <c r="I87" s="131">
        <f>I62+I37+I12+I62+I85</f>
        <v>522896451.8092</v>
      </c>
      <c r="J87" s="144"/>
      <c r="K87" s="131">
        <f>K62+K37+K12+K62+K85</f>
        <v>237683494.41</v>
      </c>
      <c r="L87" s="131">
        <f>L62+L37+L12+L62+L85</f>
        <v>129216998.88</v>
      </c>
      <c r="M87" s="131">
        <f>M62+M37+M12+M62+M85</f>
        <v>68887582.4</v>
      </c>
      <c r="N87" s="131">
        <f>N62+N37+N12+N62+N85</f>
        <v>46715262.55</v>
      </c>
      <c r="O87" s="131">
        <f>O62+O37+O12+O62+O85</f>
        <v>90588557.91000001</v>
      </c>
      <c r="P87" s="131">
        <f>P62+P37+P12+P62+P85</f>
        <v>573091896.1500001</v>
      </c>
      <c r="Q87" s="131">
        <f>Q62+Q37+Q12+Q62+Q85</f>
        <v>15188823.07</v>
      </c>
    </row>
    <row r="89" ht="12">
      <c r="A89" t="s">
        <v>392</v>
      </c>
    </row>
    <row r="90" ht="12">
      <c r="A90" t="s">
        <v>393</v>
      </c>
    </row>
    <row r="91" ht="12">
      <c r="A91" t="s">
        <v>379</v>
      </c>
    </row>
  </sheetData>
  <mergeCells count="20">
    <mergeCell ref="B3:I3"/>
    <mergeCell ref="J3:J4"/>
    <mergeCell ref="K3:P3"/>
    <mergeCell ref="Q3:Q4"/>
    <mergeCell ref="R3:R4"/>
    <mergeCell ref="B14:I14"/>
    <mergeCell ref="J14:J15"/>
    <mergeCell ref="K14:P14"/>
    <mergeCell ref="Q14:Q15"/>
    <mergeCell ref="R14:R15"/>
    <mergeCell ref="B39:I39"/>
    <mergeCell ref="J39:J40"/>
    <mergeCell ref="K39:P39"/>
    <mergeCell ref="Q39:Q40"/>
    <mergeCell ref="R39:R40"/>
    <mergeCell ref="B64:I64"/>
    <mergeCell ref="J64:J65"/>
    <mergeCell ref="K64:P64"/>
    <mergeCell ref="Q64:Q65"/>
    <mergeCell ref="R64:R65"/>
  </mergeCells>
  <printOptions/>
  <pageMargins left="0.2361111111111111" right="0.31527777777777777" top="0.31527777777777777" bottom="0.4618055555555555" header="0.5118055555555555" footer="0.19652777777777777"/>
  <pageSetup horizontalDpi="300" verticalDpi="300" orientation="landscape" paperSize="5" scale="50"/>
  <headerFooter alignWithMargins="0">
    <oddFooter>&amp;C&amp;12Página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="110" zoomScaleNormal="110" zoomScaleSheetLayoutView="80" workbookViewId="0" topLeftCell="A1">
      <selection activeCell="A2" sqref="A2"/>
    </sheetView>
  </sheetViews>
  <sheetFormatPr defaultColWidth="9.00390625" defaultRowHeight="12.75"/>
  <cols>
    <col min="2" max="2" width="10.375" style="0" customWidth="1"/>
    <col min="3" max="3" width="16.75390625" style="0" customWidth="1"/>
    <col min="4" max="5" width="11.125" style="33" customWidth="1"/>
  </cols>
  <sheetData>
    <row r="1" spans="1:6" ht="14.25">
      <c r="A1" s="145"/>
      <c r="B1" s="146"/>
      <c r="D1" s="147"/>
      <c r="E1" s="148"/>
      <c r="F1" s="149"/>
    </row>
    <row r="2" spans="2:6" ht="14.25">
      <c r="B2" s="146"/>
      <c r="D2" s="147"/>
      <c r="E2" s="148"/>
      <c r="F2" s="149"/>
    </row>
    <row r="3" spans="1:6" ht="14.25">
      <c r="A3" s="145"/>
      <c r="B3" s="146"/>
      <c r="D3" s="147"/>
      <c r="E3" s="148"/>
      <c r="F3" s="149"/>
    </row>
    <row r="4" spans="1:6" ht="14.25">
      <c r="A4" s="145"/>
      <c r="B4" s="146"/>
      <c r="D4" s="147"/>
      <c r="E4" s="148"/>
      <c r="F4" s="149"/>
    </row>
    <row r="5" spans="1:6" ht="14.25">
      <c r="A5" s="145"/>
      <c r="B5" s="146"/>
      <c r="D5" s="147"/>
      <c r="E5" s="148"/>
      <c r="F5" s="149"/>
    </row>
    <row r="6" spans="1:6" ht="14.25">
      <c r="A6" s="145"/>
      <c r="B6" s="146"/>
      <c r="D6" s="147"/>
      <c r="E6" s="148"/>
      <c r="F6" s="149"/>
    </row>
    <row r="7" spans="1:6" ht="14.25">
      <c r="A7" s="145"/>
      <c r="B7" s="146"/>
      <c r="D7" s="147"/>
      <c r="E7" s="148"/>
      <c r="F7" s="149"/>
    </row>
    <row r="8" spans="1:6" ht="14.25">
      <c r="A8" s="145"/>
      <c r="B8" s="146"/>
      <c r="D8" s="147"/>
      <c r="E8" s="148"/>
      <c r="F8" s="149"/>
    </row>
    <row r="9" spans="1:6" ht="14.25">
      <c r="A9" s="145"/>
      <c r="B9" s="146"/>
      <c r="D9" s="147"/>
      <c r="E9" s="148"/>
      <c r="F9" s="149"/>
    </row>
    <row r="10" spans="1:6" ht="14.25">
      <c r="A10" s="145"/>
      <c r="B10" s="146"/>
      <c r="D10" s="147"/>
      <c r="E10" s="148"/>
      <c r="F10" s="149"/>
    </row>
    <row r="11" spans="1:6" ht="14.25">
      <c r="A11" s="145"/>
      <c r="B11" s="146"/>
      <c r="D11" s="147"/>
      <c r="E11" s="148"/>
      <c r="F11" s="149"/>
    </row>
    <row r="12" spans="1:6" ht="14.25">
      <c r="A12" s="145"/>
      <c r="B12" s="146"/>
      <c r="D12" s="147"/>
      <c r="E12" s="148"/>
      <c r="F12" s="149"/>
    </row>
    <row r="13" spans="1:6" ht="14.25">
      <c r="A13" s="145"/>
      <c r="B13" s="146"/>
      <c r="D13" s="147"/>
      <c r="E13" s="148"/>
      <c r="F13" s="149"/>
    </row>
    <row r="14" spans="1:6" ht="14.25">
      <c r="A14" s="145"/>
      <c r="B14" s="146"/>
      <c r="D14" s="147"/>
      <c r="E14" s="148"/>
      <c r="F14" s="149"/>
    </row>
    <row r="15" spans="1:6" ht="14.25">
      <c r="A15" s="145"/>
      <c r="B15" s="146"/>
      <c r="D15" s="147"/>
      <c r="E15" s="148"/>
      <c r="F15" s="149"/>
    </row>
    <row r="16" spans="1:6" ht="14.25">
      <c r="A16" s="145"/>
      <c r="B16" s="146"/>
      <c r="D16" s="147"/>
      <c r="E16" s="148"/>
      <c r="F16" s="149"/>
    </row>
    <row r="17" spans="1:6" ht="14.25">
      <c r="A17" s="145"/>
      <c r="B17" s="146"/>
      <c r="D17" s="147"/>
      <c r="E17" s="148"/>
      <c r="F17" s="149"/>
    </row>
    <row r="18" spans="1:6" ht="14.25">
      <c r="A18" s="145"/>
      <c r="B18" s="146"/>
      <c r="D18" s="147"/>
      <c r="E18" s="148"/>
      <c r="F18" s="149"/>
    </row>
    <row r="19" spans="1:6" ht="14.25">
      <c r="A19" s="145"/>
      <c r="B19" s="146"/>
      <c r="D19" s="147"/>
      <c r="E19" s="148"/>
      <c r="F19" s="149"/>
    </row>
    <row r="20" spans="1:6" ht="14.25">
      <c r="A20" s="145"/>
      <c r="B20" s="146"/>
      <c r="D20" s="147"/>
      <c r="E20" s="148"/>
      <c r="F20" s="149"/>
    </row>
    <row r="21" spans="1:6" ht="14.25">
      <c r="A21" s="145"/>
      <c r="B21" s="146"/>
      <c r="D21" s="147"/>
      <c r="E21" s="148"/>
      <c r="F21" s="149"/>
    </row>
    <row r="22" spans="1:6" ht="14.25">
      <c r="A22" s="145"/>
      <c r="B22" s="146"/>
      <c r="D22" s="147"/>
      <c r="E22" s="148"/>
      <c r="F22" s="149"/>
    </row>
    <row r="23" spans="1:6" ht="14.25">
      <c r="A23" s="145"/>
      <c r="B23" s="146"/>
      <c r="D23" s="147"/>
      <c r="E23" s="148"/>
      <c r="F23" s="149"/>
    </row>
    <row r="24" spans="1:6" ht="14.25">
      <c r="A24" s="145"/>
      <c r="B24" s="146"/>
      <c r="D24" s="147"/>
      <c r="E24" s="148"/>
      <c r="F24" s="149"/>
    </row>
    <row r="25" spans="1:6" ht="14.25">
      <c r="A25" s="150"/>
      <c r="B25" s="151"/>
      <c r="C25" s="152"/>
      <c r="D25" s="153"/>
      <c r="E25" s="154"/>
      <c r="F25" s="149"/>
    </row>
    <row r="26" spans="1:6" ht="14.25">
      <c r="A26" s="145"/>
      <c r="B26" s="146"/>
      <c r="D26" s="147"/>
      <c r="E26" s="148"/>
      <c r="F26" s="149"/>
    </row>
    <row r="27" spans="1:6" ht="14.25">
      <c r="A27" s="145"/>
      <c r="B27" s="146"/>
      <c r="D27" s="147"/>
      <c r="E27" s="148"/>
      <c r="F27" s="149"/>
    </row>
    <row r="28" spans="1:6" ht="14.25">
      <c r="A28" s="145"/>
      <c r="B28" s="146"/>
      <c r="D28" s="147"/>
      <c r="E28" s="148"/>
      <c r="F28" s="149"/>
    </row>
    <row r="29" spans="1:6" ht="14.25">
      <c r="A29" s="150"/>
      <c r="B29" s="151"/>
      <c r="C29" s="152"/>
      <c r="D29" s="154"/>
      <c r="E29" s="147"/>
      <c r="F29" s="149"/>
    </row>
    <row r="30" spans="1:6" ht="14.25">
      <c r="A30" s="145"/>
      <c r="B30" s="146"/>
      <c r="D30" s="148"/>
      <c r="E30" s="147"/>
      <c r="F30" s="149"/>
    </row>
    <row r="31" spans="1:6" ht="14.25">
      <c r="A31" s="145"/>
      <c r="B31" s="146"/>
      <c r="D31" s="148"/>
      <c r="E31" s="147"/>
      <c r="F31" s="149"/>
    </row>
    <row r="32" spans="1:6" ht="14.25">
      <c r="A32" s="145"/>
      <c r="B32" s="146"/>
      <c r="D32" s="148"/>
      <c r="E32" s="147"/>
      <c r="F32" s="149"/>
    </row>
    <row r="33" spans="1:6" ht="14.25">
      <c r="A33" s="145"/>
      <c r="B33" s="146"/>
      <c r="D33" s="148"/>
      <c r="E33" s="147"/>
      <c r="F33" s="149"/>
    </row>
    <row r="34" spans="1:6" ht="14.25">
      <c r="A34" s="145"/>
      <c r="B34" s="146"/>
      <c r="D34" s="148"/>
      <c r="E34" s="147"/>
      <c r="F34" s="149"/>
    </row>
    <row r="35" spans="1:6" ht="14.25">
      <c r="A35" s="145"/>
      <c r="B35" s="146"/>
      <c r="D35" s="148"/>
      <c r="E35" s="147"/>
      <c r="F35" s="149"/>
    </row>
    <row r="36" spans="1:6" ht="14.25">
      <c r="A36" s="145"/>
      <c r="B36" s="146"/>
      <c r="D36" s="148"/>
      <c r="E36" s="147"/>
      <c r="F36" s="149"/>
    </row>
    <row r="37" spans="1:6" ht="14.25">
      <c r="A37" s="145"/>
      <c r="B37" s="146"/>
      <c r="D37" s="148"/>
      <c r="E37" s="147"/>
      <c r="F37" s="149"/>
    </row>
    <row r="38" spans="1:6" ht="14.25">
      <c r="A38" s="145"/>
      <c r="B38" s="146"/>
      <c r="D38" s="148"/>
      <c r="E38" s="147"/>
      <c r="F38" s="149"/>
    </row>
    <row r="39" ht="12">
      <c r="C39" s="33"/>
    </row>
    <row r="40" ht="12">
      <c r="C40" s="33"/>
    </row>
    <row r="41" ht="12">
      <c r="C41" s="33"/>
    </row>
    <row r="42" ht="12">
      <c r="C42" s="33"/>
    </row>
    <row r="43" ht="12">
      <c r="C43" s="33"/>
    </row>
    <row r="44" ht="12">
      <c r="C44" s="101"/>
    </row>
    <row r="45" ht="12">
      <c r="C45" s="33"/>
    </row>
    <row r="46" ht="12">
      <c r="C46" s="33"/>
    </row>
    <row r="47" ht="12">
      <c r="C47" s="101"/>
    </row>
    <row r="48" ht="12">
      <c r="C48" s="155"/>
    </row>
    <row r="49" ht="12">
      <c r="C49" s="155"/>
    </row>
    <row r="50" ht="12">
      <c r="C50" s="33"/>
    </row>
  </sheetData>
  <mergeCells count="1">
    <mergeCell ref="C48:C4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2008-04-07T17:28:12Z</cp:lastPrinted>
  <dcterms:created xsi:type="dcterms:W3CDTF">2008-01-15T12:20:47Z</dcterms:created>
  <dcterms:modified xsi:type="dcterms:W3CDTF">2008-03-25T12:53:23Z</dcterms:modified>
  <cp:category/>
  <cp:version/>
  <cp:contentType/>
  <cp:contentStatus/>
  <cp:revision>9</cp:revision>
</cp:coreProperties>
</file>